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09"/>
  <workbookPr autoCompressPictures="0" defaultThemeVersion="124226"/>
  <mc:AlternateContent xmlns:mc="http://schemas.openxmlformats.org/markup-compatibility/2006">
    <mc:Choice Requires="x15">
      <x15ac:absPath xmlns:x15ac="http://schemas.microsoft.com/office/spreadsheetml/2010/11/ac" url="/Volumes/Roberto 01/OneDrive - Università di Cagliari/DICAAR/01 DIDATTICA/01 Laboratorio integrato di progettazione tecnologica 2019-20/Esercitazione/"/>
    </mc:Choice>
  </mc:AlternateContent>
  <xr:revisionPtr revIDLastSave="0" documentId="13_ncr:1_{A1AC08EA-71D9-1543-8B41-4EB014C192F8}" xr6:coauthVersionLast="36" xr6:coauthVersionMax="36" xr10:uidLastSave="{00000000-0000-0000-0000-000000000000}"/>
  <bookViews>
    <workbookView xWindow="15380" yWindow="460" windowWidth="38040" windowHeight="23720" tabRatio="913" activeTab="14" xr2:uid="{00000000-000D-0000-FFFF-FFFF00000000}"/>
  </bookViews>
  <sheets>
    <sheet name="INTRO &amp; PIANTA" sheetId="19" r:id="rId1"/>
    <sheet name="1.Dati" sheetId="1" r:id="rId2"/>
    <sheet name="2.Stratigrafie" sheetId="2" r:id="rId3"/>
    <sheet name="3.Hd" sheetId="3" r:id="rId4"/>
    <sheet name="4.Hu" sheetId="6" r:id="rId5"/>
    <sheet name="5.Hg" sheetId="7" state="hidden" r:id="rId6"/>
    <sheet name="7.Apporti gratuiti" sheetId="8" r:id="rId7"/>
    <sheet name="8.Trasmissione" sheetId="9" r:id="rId8"/>
    <sheet name="9.Ventilazione" sheetId="10" r:id="rId9"/>
    <sheet name="10.QH,nd e costi" sheetId="11" r:id="rId10"/>
    <sheet name="14.Condensazione" sheetId="15" state="hidden" r:id="rId11"/>
    <sheet name="15.Inerzia termica" sheetId="16" state="hidden" r:id="rId12"/>
    <sheet name="16.Operational rating" sheetId="17" state="hidden" r:id="rId13"/>
    <sheet name="17.Efficientamento" sheetId="18" state="hidden" r:id="rId14"/>
    <sheet name="Impianto di riscaldamento" sheetId="20" r:id="rId15"/>
  </sheets>
  <externalReferences>
    <externalReference r:id="rId16"/>
    <externalReference r:id="rId17"/>
    <externalReference r:id="rId18"/>
  </externalReferences>
  <definedNames>
    <definedName name="_xlnm.Print_Area" localSheetId="11">'15.Inerzia termica'!$A$1:$O$62</definedName>
    <definedName name="_xlnm.Print_Area" localSheetId="3">'3.Hd'!$A$1:$O$489</definedName>
    <definedName name="_xlnm.Print_Area" localSheetId="7">'8.Trasmissione'!$A$1:$O$109</definedName>
    <definedName name="_xlnm.Print_Area" localSheetId="8">'9.Ventilazione'!$A$1:$O$32</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M45" i="20" l="1"/>
  <c r="M10" i="20"/>
  <c r="M11" i="20"/>
  <c r="M12" i="20"/>
  <c r="M13" i="20"/>
  <c r="M14" i="20"/>
  <c r="M15" i="20"/>
  <c r="O9" i="20" s="1"/>
  <c r="M16" i="20"/>
  <c r="M17" i="20"/>
  <c r="M18" i="20"/>
  <c r="M19" i="20"/>
  <c r="M20" i="20"/>
  <c r="M21" i="20"/>
  <c r="M22" i="20"/>
  <c r="M23" i="20"/>
  <c r="M24" i="20"/>
  <c r="M25" i="20"/>
  <c r="M26" i="20"/>
  <c r="M27" i="20"/>
  <c r="M28" i="20"/>
  <c r="M29" i="20"/>
  <c r="M30" i="20"/>
  <c r="M31" i="20"/>
  <c r="M32" i="20"/>
  <c r="M33" i="20"/>
  <c r="O29" i="20" s="1"/>
  <c r="M34" i="20"/>
  <c r="M35" i="20"/>
  <c r="M36" i="20"/>
  <c r="M37" i="20"/>
  <c r="M38" i="20"/>
  <c r="M39" i="20"/>
  <c r="M40" i="20"/>
  <c r="O39" i="20" s="1"/>
  <c r="M41" i="20"/>
  <c r="M42" i="20"/>
  <c r="M43" i="20"/>
  <c r="M44" i="20"/>
  <c r="M46" i="20"/>
  <c r="M47" i="20"/>
  <c r="M48" i="20"/>
  <c r="M49" i="20"/>
  <c r="O49" i="20" s="1"/>
  <c r="M50" i="20"/>
  <c r="M51" i="20"/>
  <c r="M52" i="20"/>
  <c r="M53" i="20"/>
  <c r="M54" i="20"/>
  <c r="M55" i="20"/>
  <c r="M56" i="20"/>
  <c r="M57" i="20"/>
  <c r="M58" i="20"/>
  <c r="M59" i="20"/>
  <c r="M60" i="20"/>
  <c r="M61" i="20"/>
  <c r="M62" i="20"/>
  <c r="M63" i="20"/>
  <c r="O59" i="20" s="1"/>
  <c r="M64" i="20"/>
  <c r="M65" i="20"/>
  <c r="M66" i="20"/>
  <c r="M67" i="20"/>
  <c r="M68" i="20"/>
  <c r="O19" i="20"/>
  <c r="M9" i="20"/>
  <c r="B282" i="20"/>
  <c r="E282" i="20"/>
  <c r="Q263" i="20"/>
  <c r="D282" i="20" l="1"/>
  <c r="C275" i="20"/>
  <c r="C272" i="20"/>
  <c r="C271" i="20"/>
  <c r="AG138" i="20" l="1"/>
  <c r="AG139" i="20"/>
  <c r="AG140" i="20"/>
  <c r="AG141" i="20"/>
  <c r="AG142" i="20"/>
  <c r="AG143" i="20"/>
  <c r="AG144" i="20"/>
  <c r="AG145" i="20"/>
  <c r="AG146" i="20"/>
  <c r="AG147" i="20"/>
  <c r="AI138" i="20"/>
  <c r="AI139" i="20"/>
  <c r="AI140" i="20"/>
  <c r="AI141" i="20"/>
  <c r="AI142" i="20"/>
  <c r="AI143" i="20"/>
  <c r="AI144" i="20"/>
  <c r="AI145" i="20"/>
  <c r="AI146" i="20"/>
  <c r="AI147" i="20"/>
  <c r="AJ126" i="20"/>
  <c r="AD129" i="20"/>
  <c r="AD139" i="20" s="1"/>
  <c r="AD149" i="20" s="1"/>
  <c r="AD159" i="20" s="1"/>
  <c r="AD169" i="20" s="1"/>
  <c r="AD130" i="20"/>
  <c r="AD140" i="20" s="1"/>
  <c r="AD150" i="20" s="1"/>
  <c r="AD160" i="20" s="1"/>
  <c r="AD170" i="20" s="1"/>
  <c r="AD131" i="20"/>
  <c r="AD132" i="20"/>
  <c r="AD133" i="20"/>
  <c r="AD143" i="20" s="1"/>
  <c r="AD153" i="20" s="1"/>
  <c r="AD163" i="20" s="1"/>
  <c r="AD173" i="20" s="1"/>
  <c r="AD134" i="20"/>
  <c r="AD135" i="20"/>
  <c r="AD145" i="20" s="1"/>
  <c r="AD155" i="20" s="1"/>
  <c r="AD165" i="20" s="1"/>
  <c r="AD175" i="20" s="1"/>
  <c r="AD136" i="20"/>
  <c r="AD146" i="20" s="1"/>
  <c r="AD156" i="20" s="1"/>
  <c r="AD166" i="20" s="1"/>
  <c r="AD176" i="20" s="1"/>
  <c r="AD137" i="20"/>
  <c r="AD147" i="20" s="1"/>
  <c r="AD157" i="20" s="1"/>
  <c r="AD167" i="20" s="1"/>
  <c r="AD177" i="20" s="1"/>
  <c r="AD141" i="20"/>
  <c r="AD151" i="20" s="1"/>
  <c r="AD161" i="20" s="1"/>
  <c r="AD171" i="20" s="1"/>
  <c r="AD142" i="20"/>
  <c r="AD144" i="20"/>
  <c r="AD154" i="20" s="1"/>
  <c r="AD164" i="20" s="1"/>
  <c r="AD174" i="20" s="1"/>
  <c r="AD152" i="20"/>
  <c r="AD162" i="20" s="1"/>
  <c r="AD172" i="20" s="1"/>
  <c r="AD128" i="20"/>
  <c r="AD138" i="20" s="1"/>
  <c r="AD148" i="20" s="1"/>
  <c r="AD158" i="20" s="1"/>
  <c r="AD168" i="20" s="1"/>
  <c r="T140" i="20"/>
  <c r="T150" i="20" s="1"/>
  <c r="T160" i="20" s="1"/>
  <c r="T170" i="20" s="1"/>
  <c r="T129" i="20"/>
  <c r="T139" i="20" s="1"/>
  <c r="T149" i="20" s="1"/>
  <c r="T159" i="20" s="1"/>
  <c r="T169" i="20" s="1"/>
  <c r="T130" i="20"/>
  <c r="T131" i="20"/>
  <c r="T141" i="20" s="1"/>
  <c r="T151" i="20" s="1"/>
  <c r="T161" i="20" s="1"/>
  <c r="T171" i="20" s="1"/>
  <c r="T132" i="20"/>
  <c r="T142" i="20" s="1"/>
  <c r="T152" i="20" s="1"/>
  <c r="T162" i="20" s="1"/>
  <c r="T172" i="20" s="1"/>
  <c r="T133" i="20"/>
  <c r="T143" i="20" s="1"/>
  <c r="T153" i="20" s="1"/>
  <c r="T163" i="20" s="1"/>
  <c r="T173" i="20" s="1"/>
  <c r="T134" i="20"/>
  <c r="T144" i="20" s="1"/>
  <c r="T154" i="20" s="1"/>
  <c r="T164" i="20" s="1"/>
  <c r="T174" i="20" s="1"/>
  <c r="T135" i="20"/>
  <c r="T145" i="20" s="1"/>
  <c r="T155" i="20" s="1"/>
  <c r="T165" i="20" s="1"/>
  <c r="T175" i="20" s="1"/>
  <c r="T136" i="20"/>
  <c r="T146" i="20" s="1"/>
  <c r="T156" i="20" s="1"/>
  <c r="T166" i="20" s="1"/>
  <c r="T176" i="20" s="1"/>
  <c r="T137" i="20"/>
  <c r="T147" i="20" s="1"/>
  <c r="T157" i="20" s="1"/>
  <c r="T167" i="20" s="1"/>
  <c r="T177" i="20" s="1"/>
  <c r="T128" i="20"/>
  <c r="T138" i="20" s="1"/>
  <c r="T148" i="20" s="1"/>
  <c r="T158" i="20" s="1"/>
  <c r="T168" i="20" s="1"/>
  <c r="P181" i="20"/>
  <c r="AB119" i="20" l="1"/>
  <c r="P118" i="20"/>
  <c r="K3" i="2"/>
  <c r="P2" i="2"/>
  <c r="R3" i="2"/>
  <c r="N3" i="3" s="1"/>
  <c r="R2" i="2"/>
  <c r="N2" i="3" s="1"/>
  <c r="Q77" i="11"/>
  <c r="L77" i="11"/>
  <c r="AK349" i="8" l="1"/>
  <c r="AK350" i="8"/>
  <c r="AK351" i="8"/>
  <c r="AK352" i="8"/>
  <c r="AK353" i="8"/>
  <c r="AK354" i="8"/>
  <c r="AK355" i="8"/>
  <c r="AK356" i="8"/>
  <c r="AK357" i="8"/>
  <c r="AK358" i="8"/>
  <c r="AK359" i="8"/>
  <c r="AK360" i="8"/>
  <c r="AT350" i="8"/>
  <c r="AT351" i="8"/>
  <c r="AT352" i="8"/>
  <c r="AT353" i="8"/>
  <c r="AT354" i="8"/>
  <c r="AT355" i="8"/>
  <c r="AT356" i="8"/>
  <c r="AT357" i="8"/>
  <c r="AT358" i="8"/>
  <c r="AT359" i="8"/>
  <c r="AT360" i="8"/>
  <c r="AT349" i="8"/>
  <c r="AJ350" i="8"/>
  <c r="AJ351" i="8"/>
  <c r="AJ352" i="8"/>
  <c r="AJ353" i="8"/>
  <c r="AJ354" i="8"/>
  <c r="AJ355" i="8"/>
  <c r="AJ356" i="8"/>
  <c r="AJ357" i="8"/>
  <c r="AJ358" i="8"/>
  <c r="AJ359" i="8"/>
  <c r="AJ360" i="8"/>
  <c r="AJ349" i="8"/>
  <c r="L38" i="11" l="1"/>
  <c r="R57" i="2"/>
  <c r="K66" i="2"/>
  <c r="K67" i="2"/>
  <c r="K68" i="2"/>
  <c r="K69" i="2"/>
  <c r="K70" i="2"/>
  <c r="I78" i="2"/>
  <c r="R76" i="2" l="1"/>
  <c r="R77" i="2" s="1"/>
  <c r="I97" i="2" l="1"/>
  <c r="K91" i="2"/>
  <c r="K90" i="2"/>
  <c r="K89" i="2"/>
  <c r="K88" i="2"/>
  <c r="K87" i="2"/>
  <c r="J86" i="2"/>
  <c r="K85" i="2"/>
  <c r="I42" i="2"/>
  <c r="K34" i="2"/>
  <c r="K32" i="2"/>
  <c r="K31" i="2"/>
  <c r="K30" i="2"/>
  <c r="I22" i="2"/>
  <c r="K18" i="2"/>
  <c r="K17" i="2"/>
  <c r="K16" i="2"/>
  <c r="K15" i="2"/>
  <c r="K14" i="2"/>
  <c r="K13" i="2"/>
  <c r="J11" i="2"/>
  <c r="K10" i="2"/>
  <c r="AH11" i="2"/>
  <c r="AI15" i="2"/>
  <c r="AI16" i="2"/>
  <c r="AI17" i="2"/>
  <c r="AI18" i="2"/>
  <c r="AI19" i="2"/>
  <c r="R95" i="2" l="1"/>
  <c r="R96" i="2" s="1"/>
  <c r="E50" i="6" s="1"/>
  <c r="R20" i="2"/>
  <c r="R21" i="2" s="1"/>
  <c r="R40" i="2"/>
  <c r="R41" i="2" s="1"/>
  <c r="F10" i="6" s="1"/>
  <c r="AG14" i="2"/>
  <c r="AG22" i="2" s="1"/>
  <c r="AI10" i="2"/>
  <c r="K122" i="1"/>
  <c r="G113" i="3" l="1"/>
  <c r="G154" i="3"/>
  <c r="G156" i="3"/>
  <c r="G140" i="3"/>
  <c r="G129" i="3"/>
  <c r="G115" i="3"/>
  <c r="G157" i="3"/>
  <c r="G142" i="3"/>
  <c r="G130" i="3"/>
  <c r="G116" i="3"/>
  <c r="G159" i="3"/>
  <c r="G143" i="3"/>
  <c r="G132" i="3"/>
  <c r="G125" i="3"/>
  <c r="G139" i="3"/>
  <c r="G161" i="3"/>
  <c r="G152" i="3"/>
  <c r="G134" i="3"/>
  <c r="G127" i="3"/>
  <c r="G112" i="3"/>
  <c r="G10" i="3"/>
  <c r="F13" i="6"/>
  <c r="E45" i="6"/>
  <c r="E49" i="6"/>
  <c r="E47" i="6"/>
  <c r="E42" i="6"/>
  <c r="E44" i="6"/>
  <c r="E48" i="6"/>
  <c r="E40" i="6"/>
  <c r="E41" i="6"/>
  <c r="E46" i="6"/>
  <c r="E43" i="6"/>
  <c r="AI14" i="2"/>
  <c r="AP20" i="2" s="1"/>
  <c r="AP21" i="2" s="1"/>
  <c r="Z424" i="8"/>
  <c r="AA424" i="8" s="1"/>
  <c r="Z423" i="8"/>
  <c r="AA423" i="8" s="1"/>
  <c r="Z422" i="8"/>
  <c r="AA422" i="8" s="1"/>
  <c r="Z421" i="8"/>
  <c r="AA421" i="8" s="1"/>
  <c r="Z420" i="8"/>
  <c r="AA420" i="8" s="1"/>
  <c r="Z419" i="8"/>
  <c r="AA419" i="8" s="1"/>
  <c r="Z418" i="8"/>
  <c r="AA418" i="8" s="1"/>
  <c r="Z417" i="8"/>
  <c r="AA417" i="8" s="1"/>
  <c r="Z416" i="8"/>
  <c r="AA416" i="8" s="1"/>
  <c r="Z415" i="8"/>
  <c r="AA415" i="8" s="1"/>
  <c r="Z414" i="8"/>
  <c r="AA414" i="8" s="1"/>
  <c r="Z413" i="8"/>
  <c r="AA413" i="8" s="1"/>
  <c r="Z410" i="8"/>
  <c r="AA410" i="8" s="1"/>
  <c r="Z409" i="8"/>
  <c r="AA409" i="8" s="1"/>
  <c r="Z408" i="8"/>
  <c r="AA408" i="8" s="1"/>
  <c r="Z407" i="8"/>
  <c r="AA407" i="8" s="1"/>
  <c r="AA406" i="8"/>
  <c r="Z406" i="8"/>
  <c r="Z405" i="8"/>
  <c r="AA405" i="8" s="1"/>
  <c r="Z404" i="8"/>
  <c r="AA404" i="8" s="1"/>
  <c r="Z403" i="8"/>
  <c r="AA403" i="8" s="1"/>
  <c r="Z402" i="8"/>
  <c r="AA402" i="8" s="1"/>
  <c r="Z401" i="8"/>
  <c r="AA401" i="8" s="1"/>
  <c r="Z400" i="8"/>
  <c r="AA400" i="8" s="1"/>
  <c r="Z399" i="8"/>
  <c r="AA399" i="8" s="1"/>
  <c r="Z396" i="8"/>
  <c r="AA396" i="8" s="1"/>
  <c r="Z395" i="8"/>
  <c r="AA395" i="8" s="1"/>
  <c r="Z394" i="8"/>
  <c r="AA394" i="8" s="1"/>
  <c r="Z393" i="8"/>
  <c r="AA393" i="8" s="1"/>
  <c r="Z392" i="8"/>
  <c r="AA392" i="8" s="1"/>
  <c r="Z391" i="8"/>
  <c r="AA391" i="8" s="1"/>
  <c r="Z390" i="8"/>
  <c r="AA390" i="8" s="1"/>
  <c r="Z389" i="8"/>
  <c r="AA389" i="8" s="1"/>
  <c r="Z388" i="8"/>
  <c r="AA388" i="8" s="1"/>
  <c r="Z387" i="8"/>
  <c r="AA387" i="8" s="1"/>
  <c r="Z386" i="8"/>
  <c r="AA386" i="8" s="1"/>
  <c r="Z385" i="8"/>
  <c r="AA385" i="8" s="1"/>
  <c r="Z382" i="8"/>
  <c r="AA382" i="8" s="1"/>
  <c r="Z381" i="8"/>
  <c r="AA381" i="8" s="1"/>
  <c r="AA380" i="8"/>
  <c r="Z380" i="8"/>
  <c r="Z379" i="8"/>
  <c r="AA379" i="8" s="1"/>
  <c r="Z378" i="8"/>
  <c r="AA378" i="8" s="1"/>
  <c r="Z377" i="8"/>
  <c r="AA377" i="8" s="1"/>
  <c r="Z376" i="8"/>
  <c r="AA376" i="8" s="1"/>
  <c r="Z375" i="8"/>
  <c r="AA375" i="8" s="1"/>
  <c r="Z374" i="8"/>
  <c r="AA374" i="8" s="1"/>
  <c r="Z373" i="8"/>
  <c r="AA373" i="8" s="1"/>
  <c r="Z372" i="8"/>
  <c r="AA372" i="8" s="1"/>
  <c r="Z371" i="8"/>
  <c r="AA371" i="8" s="1"/>
  <c r="Z368" i="8"/>
  <c r="AA368" i="8" s="1"/>
  <c r="Z367" i="8"/>
  <c r="AA367" i="8" s="1"/>
  <c r="Z366" i="8"/>
  <c r="AA366" i="8" s="1"/>
  <c r="Z365" i="8"/>
  <c r="AA365" i="8" s="1"/>
  <c r="Z364" i="8"/>
  <c r="AA364" i="8" s="1"/>
  <c r="Z363" i="8"/>
  <c r="AA363" i="8" s="1"/>
  <c r="Z362" i="8"/>
  <c r="AA362" i="8" s="1"/>
  <c r="Z361" i="8"/>
  <c r="AA361" i="8" s="1"/>
  <c r="Z360" i="8"/>
  <c r="AA360" i="8" s="1"/>
  <c r="Z359" i="8"/>
  <c r="AA359" i="8" s="1"/>
  <c r="Z358" i="8"/>
  <c r="AA358" i="8" s="1"/>
  <c r="Z357" i="8"/>
  <c r="AA357" i="8" s="1"/>
  <c r="Z354" i="8"/>
  <c r="AA354" i="8" s="1"/>
  <c r="Z353" i="8"/>
  <c r="AA353" i="8" s="1"/>
  <c r="Z352" i="8"/>
  <c r="AA352" i="8" s="1"/>
  <c r="Z351" i="8"/>
  <c r="AA351" i="8" s="1"/>
  <c r="Z350" i="8"/>
  <c r="AA350" i="8" s="1"/>
  <c r="Z349" i="8"/>
  <c r="AA349" i="8" s="1"/>
  <c r="Z348" i="8"/>
  <c r="AA348" i="8" s="1"/>
  <c r="Z347" i="8"/>
  <c r="AA347" i="8" s="1"/>
  <c r="Z346" i="8"/>
  <c r="AA346" i="8" s="1"/>
  <c r="Z345" i="8"/>
  <c r="AA345" i="8" s="1"/>
  <c r="Z344" i="8"/>
  <c r="AA344" i="8" s="1"/>
  <c r="Z343" i="8"/>
  <c r="AA343" i="8" s="1"/>
  <c r="Z340" i="8"/>
  <c r="AA340" i="8" s="1"/>
  <c r="Z339" i="8"/>
  <c r="AA339" i="8" s="1"/>
  <c r="Z338" i="8"/>
  <c r="AA338" i="8" s="1"/>
  <c r="Z337" i="8"/>
  <c r="AA337" i="8" s="1"/>
  <c r="Z336" i="8"/>
  <c r="AA336" i="8" s="1"/>
  <c r="Z335" i="8"/>
  <c r="AA335" i="8" s="1"/>
  <c r="Z334" i="8"/>
  <c r="AA334" i="8" s="1"/>
  <c r="Z333" i="8"/>
  <c r="AA333" i="8" s="1"/>
  <c r="Z332" i="8"/>
  <c r="AA332" i="8" s="1"/>
  <c r="Z331" i="8"/>
  <c r="AA331" i="8" s="1"/>
  <c r="Z330" i="8"/>
  <c r="AA330" i="8" s="1"/>
  <c r="Z329" i="8"/>
  <c r="AA329" i="8" s="1"/>
  <c r="Z326" i="8"/>
  <c r="Z325" i="8"/>
  <c r="Z324" i="8"/>
  <c r="Z323" i="8"/>
  <c r="Z322" i="8"/>
  <c r="Z321" i="8"/>
  <c r="Z320" i="8"/>
  <c r="Z319" i="8"/>
  <c r="Z318" i="8"/>
  <c r="Z317" i="8"/>
  <c r="Z316" i="8"/>
  <c r="Z315" i="8"/>
  <c r="Z466" i="8"/>
  <c r="AA466" i="8" s="1"/>
  <c r="Z465" i="8"/>
  <c r="AA465" i="8" s="1"/>
  <c r="Z464" i="8"/>
  <c r="AA464" i="8" s="1"/>
  <c r="Z463" i="8"/>
  <c r="AA463" i="8" s="1"/>
  <c r="Z462" i="8"/>
  <c r="AA462" i="8" s="1"/>
  <c r="Z461" i="8"/>
  <c r="AA461" i="8" s="1"/>
  <c r="Z460" i="8"/>
  <c r="AA460" i="8" s="1"/>
  <c r="Z459" i="8"/>
  <c r="AA459" i="8" s="1"/>
  <c r="Z458" i="8"/>
  <c r="AA458" i="8" s="1"/>
  <c r="Z457" i="8"/>
  <c r="AA457" i="8" s="1"/>
  <c r="Z456" i="8"/>
  <c r="AA456" i="8" s="1"/>
  <c r="Z455" i="8"/>
  <c r="AA455" i="8" s="1"/>
  <c r="Z452" i="8"/>
  <c r="AA452" i="8" s="1"/>
  <c r="Z451" i="8"/>
  <c r="AA451" i="8" s="1"/>
  <c r="Z450" i="8"/>
  <c r="AA450" i="8" s="1"/>
  <c r="Z449" i="8"/>
  <c r="AA449" i="8" s="1"/>
  <c r="Z448" i="8"/>
  <c r="AA448" i="8" s="1"/>
  <c r="Z447" i="8"/>
  <c r="AA447" i="8" s="1"/>
  <c r="Z446" i="8"/>
  <c r="AA446" i="8" s="1"/>
  <c r="Z445" i="8"/>
  <c r="AA445" i="8" s="1"/>
  <c r="Z444" i="8"/>
  <c r="AA444" i="8" s="1"/>
  <c r="Z443" i="8"/>
  <c r="AA443" i="8" s="1"/>
  <c r="Z442" i="8"/>
  <c r="AA442" i="8" s="1"/>
  <c r="Z441" i="8"/>
  <c r="AA441" i="8" s="1"/>
  <c r="Z438" i="8"/>
  <c r="AA438" i="8" s="1"/>
  <c r="Z437" i="8"/>
  <c r="AA437" i="8" s="1"/>
  <c r="Z436" i="8"/>
  <c r="AA436" i="8" s="1"/>
  <c r="Z435" i="8"/>
  <c r="AA435" i="8" s="1"/>
  <c r="Z434" i="8"/>
  <c r="AA434" i="8" s="1"/>
  <c r="Z433" i="8"/>
  <c r="AA433" i="8" s="1"/>
  <c r="Z432" i="8"/>
  <c r="AA432" i="8" s="1"/>
  <c r="Z431" i="8"/>
  <c r="AA431" i="8" s="1"/>
  <c r="Z430" i="8"/>
  <c r="AA430" i="8" s="1"/>
  <c r="Z429" i="8"/>
  <c r="AA429" i="8" s="1"/>
  <c r="Z428" i="8"/>
  <c r="AA428" i="8" s="1"/>
  <c r="Z427" i="8"/>
  <c r="AA427" i="8" s="1"/>
  <c r="L467" i="8"/>
  <c r="M467" i="8" s="1"/>
  <c r="L466" i="8"/>
  <c r="M466" i="8" s="1"/>
  <c r="L465" i="8"/>
  <c r="M465" i="8" s="1"/>
  <c r="L464" i="8"/>
  <c r="M464" i="8" s="1"/>
  <c r="L463" i="8"/>
  <c r="M463" i="8" s="1"/>
  <c r="L462" i="8"/>
  <c r="M462" i="8" s="1"/>
  <c r="L461" i="8"/>
  <c r="M461" i="8" s="1"/>
  <c r="L460" i="8"/>
  <c r="M460" i="8" s="1"/>
  <c r="L459" i="8"/>
  <c r="M459" i="8" s="1"/>
  <c r="L458" i="8"/>
  <c r="M458" i="8" s="1"/>
  <c r="L457" i="8"/>
  <c r="M457" i="8" s="1"/>
  <c r="L456" i="8"/>
  <c r="M456" i="8" s="1"/>
  <c r="L453" i="8"/>
  <c r="M453" i="8" s="1"/>
  <c r="L452" i="8"/>
  <c r="M452" i="8" s="1"/>
  <c r="L451" i="8"/>
  <c r="M451" i="8" s="1"/>
  <c r="L450" i="8"/>
  <c r="M450" i="8" s="1"/>
  <c r="L449" i="8"/>
  <c r="M449" i="8" s="1"/>
  <c r="L448" i="8"/>
  <c r="M448" i="8" s="1"/>
  <c r="L447" i="8"/>
  <c r="M447" i="8" s="1"/>
  <c r="L446" i="8"/>
  <c r="M446" i="8" s="1"/>
  <c r="L445" i="8"/>
  <c r="M445" i="8" s="1"/>
  <c r="L444" i="8"/>
  <c r="M444" i="8" s="1"/>
  <c r="L443" i="8"/>
  <c r="M443" i="8" s="1"/>
  <c r="L442" i="8"/>
  <c r="M442" i="8" s="1"/>
  <c r="L439" i="8"/>
  <c r="M439" i="8" s="1"/>
  <c r="L438" i="8"/>
  <c r="M438" i="8" s="1"/>
  <c r="L437" i="8"/>
  <c r="M437" i="8" s="1"/>
  <c r="L436" i="8"/>
  <c r="M436" i="8" s="1"/>
  <c r="L435" i="8"/>
  <c r="M435" i="8" s="1"/>
  <c r="L434" i="8"/>
  <c r="M434" i="8" s="1"/>
  <c r="L433" i="8"/>
  <c r="M433" i="8" s="1"/>
  <c r="L432" i="8"/>
  <c r="M432" i="8" s="1"/>
  <c r="L431" i="8"/>
  <c r="M431" i="8" s="1"/>
  <c r="L430" i="8"/>
  <c r="M430" i="8" s="1"/>
  <c r="L429" i="8"/>
  <c r="M429" i="8" s="1"/>
  <c r="L428" i="8"/>
  <c r="M428" i="8" s="1"/>
  <c r="L425" i="8"/>
  <c r="M425" i="8" s="1"/>
  <c r="L424" i="8"/>
  <c r="M424" i="8" s="1"/>
  <c r="L423" i="8"/>
  <c r="M423" i="8" s="1"/>
  <c r="L422" i="8"/>
  <c r="M422" i="8" s="1"/>
  <c r="L421" i="8"/>
  <c r="M421" i="8" s="1"/>
  <c r="L420" i="8"/>
  <c r="M420" i="8" s="1"/>
  <c r="L419" i="8"/>
  <c r="M419" i="8" s="1"/>
  <c r="L418" i="8"/>
  <c r="M418" i="8" s="1"/>
  <c r="L417" i="8"/>
  <c r="M417" i="8" s="1"/>
  <c r="L416" i="8"/>
  <c r="M416" i="8" s="1"/>
  <c r="L415" i="8"/>
  <c r="M415" i="8" s="1"/>
  <c r="L414" i="8"/>
  <c r="M414" i="8" s="1"/>
  <c r="L411" i="8"/>
  <c r="M411" i="8" s="1"/>
  <c r="L410" i="8"/>
  <c r="M410" i="8" s="1"/>
  <c r="L409" i="8"/>
  <c r="M409" i="8" s="1"/>
  <c r="L408" i="8"/>
  <c r="M408" i="8" s="1"/>
  <c r="L407" i="8"/>
  <c r="M407" i="8" s="1"/>
  <c r="L406" i="8"/>
  <c r="M406" i="8" s="1"/>
  <c r="L405" i="8"/>
  <c r="M405" i="8" s="1"/>
  <c r="L404" i="8"/>
  <c r="M404" i="8" s="1"/>
  <c r="L403" i="8"/>
  <c r="M403" i="8" s="1"/>
  <c r="L402" i="8"/>
  <c r="M402" i="8" s="1"/>
  <c r="L401" i="8"/>
  <c r="M401" i="8" s="1"/>
  <c r="L400" i="8"/>
  <c r="M400" i="8" s="1"/>
  <c r="L397" i="8"/>
  <c r="M397" i="8" s="1"/>
  <c r="L396" i="8"/>
  <c r="M396" i="8" s="1"/>
  <c r="L395" i="8"/>
  <c r="M395" i="8" s="1"/>
  <c r="L394" i="8"/>
  <c r="M394" i="8" s="1"/>
  <c r="L393" i="8"/>
  <c r="M393" i="8" s="1"/>
  <c r="L392" i="8"/>
  <c r="M392" i="8" s="1"/>
  <c r="L391" i="8"/>
  <c r="M391" i="8" s="1"/>
  <c r="L390" i="8"/>
  <c r="M390" i="8" s="1"/>
  <c r="L389" i="8"/>
  <c r="M389" i="8" s="1"/>
  <c r="L388" i="8"/>
  <c r="M388" i="8" s="1"/>
  <c r="L387" i="8"/>
  <c r="M387" i="8" s="1"/>
  <c r="L386" i="8"/>
  <c r="M386" i="8" s="1"/>
  <c r="L383" i="8"/>
  <c r="M383" i="8" s="1"/>
  <c r="L382" i="8"/>
  <c r="M382" i="8" s="1"/>
  <c r="L381" i="8"/>
  <c r="M381" i="8" s="1"/>
  <c r="L380" i="8"/>
  <c r="M380" i="8" s="1"/>
  <c r="L379" i="8"/>
  <c r="M379" i="8" s="1"/>
  <c r="L378" i="8"/>
  <c r="M378" i="8" s="1"/>
  <c r="L377" i="8"/>
  <c r="M377" i="8" s="1"/>
  <c r="L376" i="8"/>
  <c r="M376" i="8" s="1"/>
  <c r="L375" i="8"/>
  <c r="M375" i="8" s="1"/>
  <c r="L374" i="8"/>
  <c r="M374" i="8" s="1"/>
  <c r="L373" i="8"/>
  <c r="M373" i="8" s="1"/>
  <c r="L372" i="8"/>
  <c r="M372" i="8" s="1"/>
  <c r="L369" i="8"/>
  <c r="M369" i="8" s="1"/>
  <c r="L368" i="8"/>
  <c r="M368" i="8" s="1"/>
  <c r="L367" i="8"/>
  <c r="M367" i="8" s="1"/>
  <c r="L366" i="8"/>
  <c r="M366" i="8" s="1"/>
  <c r="L365" i="8"/>
  <c r="M365" i="8" s="1"/>
  <c r="L364" i="8"/>
  <c r="M364" i="8" s="1"/>
  <c r="L363" i="8"/>
  <c r="M363" i="8" s="1"/>
  <c r="L362" i="8"/>
  <c r="M362" i="8" s="1"/>
  <c r="L361" i="8"/>
  <c r="M361" i="8" s="1"/>
  <c r="L360" i="8"/>
  <c r="M360" i="8" s="1"/>
  <c r="L359" i="8"/>
  <c r="M359" i="8" s="1"/>
  <c r="L358" i="8"/>
  <c r="M358" i="8" s="1"/>
  <c r="L355" i="8"/>
  <c r="M355" i="8" s="1"/>
  <c r="L354" i="8"/>
  <c r="M354" i="8" s="1"/>
  <c r="L353" i="8"/>
  <c r="M353" i="8" s="1"/>
  <c r="L352" i="8"/>
  <c r="M352" i="8" s="1"/>
  <c r="L351" i="8"/>
  <c r="M351" i="8" s="1"/>
  <c r="L350" i="8"/>
  <c r="M350" i="8" s="1"/>
  <c r="L349" i="8"/>
  <c r="M349" i="8" s="1"/>
  <c r="L348" i="8"/>
  <c r="M348" i="8" s="1"/>
  <c r="L347" i="8"/>
  <c r="M347" i="8" s="1"/>
  <c r="L346" i="8"/>
  <c r="M346" i="8" s="1"/>
  <c r="L345" i="8"/>
  <c r="M345" i="8" s="1"/>
  <c r="L344" i="8"/>
  <c r="M344" i="8" s="1"/>
  <c r="AO360" i="8"/>
  <c r="AP360" i="8" s="1"/>
  <c r="AO359" i="8"/>
  <c r="AP359" i="8" s="1"/>
  <c r="AO358" i="8"/>
  <c r="AP358" i="8" s="1"/>
  <c r="AO357" i="8"/>
  <c r="AP357" i="8" s="1"/>
  <c r="AO356" i="8"/>
  <c r="AP356" i="8" s="1"/>
  <c r="AO355" i="8"/>
  <c r="AP355" i="8" s="1"/>
  <c r="AO354" i="8"/>
  <c r="AP354" i="8" s="1"/>
  <c r="AO353" i="8"/>
  <c r="AP353" i="8" s="1"/>
  <c r="AO352" i="8"/>
  <c r="AP352" i="8" s="1"/>
  <c r="AO351" i="8"/>
  <c r="AP351" i="8" s="1"/>
  <c r="AO350" i="8"/>
  <c r="AP350" i="8" s="1"/>
  <c r="AO349" i="8"/>
  <c r="AP349" i="8" s="1"/>
  <c r="AY344" i="8"/>
  <c r="AZ344" i="8" s="1"/>
  <c r="AY343" i="8"/>
  <c r="AZ343" i="8" s="1"/>
  <c r="AY342" i="8"/>
  <c r="AZ342" i="8" s="1"/>
  <c r="AY341" i="8"/>
  <c r="AZ341" i="8" s="1"/>
  <c r="AY340" i="8"/>
  <c r="AZ340" i="8" s="1"/>
  <c r="AY339" i="8"/>
  <c r="AZ339" i="8" s="1"/>
  <c r="AY338" i="8"/>
  <c r="AZ338" i="8" s="1"/>
  <c r="AY337" i="8"/>
  <c r="AZ337" i="8" s="1"/>
  <c r="AY336" i="8"/>
  <c r="AZ336" i="8" s="1"/>
  <c r="AY335" i="8"/>
  <c r="AZ335" i="8" s="1"/>
  <c r="AY334" i="8"/>
  <c r="AZ334" i="8" s="1"/>
  <c r="AY333" i="8"/>
  <c r="AZ333" i="8" s="1"/>
  <c r="AY328" i="8"/>
  <c r="AZ328" i="8" s="1"/>
  <c r="AY327" i="8"/>
  <c r="AZ327" i="8" s="1"/>
  <c r="AY326" i="8"/>
  <c r="AZ326" i="8" s="1"/>
  <c r="AY325" i="8"/>
  <c r="AZ325" i="8" s="1"/>
  <c r="AY324" i="8"/>
  <c r="AZ324" i="8" s="1"/>
  <c r="AY323" i="8"/>
  <c r="AZ323" i="8" s="1"/>
  <c r="AY322" i="8"/>
  <c r="AZ322" i="8" s="1"/>
  <c r="AY321" i="8"/>
  <c r="AZ321" i="8" s="1"/>
  <c r="AY320" i="8"/>
  <c r="AZ320" i="8" s="1"/>
  <c r="AY319" i="8"/>
  <c r="AZ319" i="8" s="1"/>
  <c r="AY318" i="8"/>
  <c r="AZ318" i="8" s="1"/>
  <c r="AY317" i="8"/>
  <c r="AZ317" i="8" s="1"/>
  <c r="AO328" i="8"/>
  <c r="AP328" i="8" s="1"/>
  <c r="AO327" i="8"/>
  <c r="AP327" i="8" s="1"/>
  <c r="AO326" i="8"/>
  <c r="AP326" i="8" s="1"/>
  <c r="AO325" i="8"/>
  <c r="AP325" i="8" s="1"/>
  <c r="AO324" i="8"/>
  <c r="AP324" i="8" s="1"/>
  <c r="AO323" i="8"/>
  <c r="AP323" i="8" s="1"/>
  <c r="AO322" i="8"/>
  <c r="AP322" i="8" s="1"/>
  <c r="AO321" i="8"/>
  <c r="AP321" i="8" s="1"/>
  <c r="AO320" i="8"/>
  <c r="AP320" i="8" s="1"/>
  <c r="AO319" i="8"/>
  <c r="AP319" i="8" s="1"/>
  <c r="AO318" i="8"/>
  <c r="AP318" i="8" s="1"/>
  <c r="AO317" i="8"/>
  <c r="AP317" i="8" s="1"/>
  <c r="AO344" i="8"/>
  <c r="AP344" i="8" s="1"/>
  <c r="AO343" i="8"/>
  <c r="AP343" i="8" s="1"/>
  <c r="AO342" i="8"/>
  <c r="AP342" i="8" s="1"/>
  <c r="AO341" i="8"/>
  <c r="AP341" i="8" s="1"/>
  <c r="AO340" i="8"/>
  <c r="AP340" i="8" s="1"/>
  <c r="AO339" i="8"/>
  <c r="AP339" i="8" s="1"/>
  <c r="AO338" i="8"/>
  <c r="AP338" i="8" s="1"/>
  <c r="AO337" i="8"/>
  <c r="AP337" i="8" s="1"/>
  <c r="AO336" i="8"/>
  <c r="AP336" i="8" s="1"/>
  <c r="AO335" i="8"/>
  <c r="AP335" i="8" s="1"/>
  <c r="AO334" i="8"/>
  <c r="AP334" i="8" s="1"/>
  <c r="AO333" i="8"/>
  <c r="AP333" i="8" s="1"/>
  <c r="BQ483" i="8"/>
  <c r="BR483" i="8" s="1"/>
  <c r="BQ482" i="8"/>
  <c r="BR482" i="8" s="1"/>
  <c r="BQ481" i="8"/>
  <c r="BR481" i="8" s="1"/>
  <c r="BQ480" i="8"/>
  <c r="BR480" i="8" s="1"/>
  <c r="BQ479" i="8"/>
  <c r="BR479" i="8" s="1"/>
  <c r="BQ478" i="8"/>
  <c r="BR478" i="8" s="1"/>
  <c r="BQ477" i="8"/>
  <c r="BR477" i="8" s="1"/>
  <c r="BQ476" i="8"/>
  <c r="BR476" i="8" s="1"/>
  <c r="BQ475" i="8"/>
  <c r="BR475" i="8" s="1"/>
  <c r="BQ474" i="8"/>
  <c r="BR474" i="8" s="1"/>
  <c r="BQ473" i="8"/>
  <c r="BR473" i="8" s="1"/>
  <c r="BQ472" i="8"/>
  <c r="BR472" i="8" s="1"/>
  <c r="AA325" i="8" l="1"/>
  <c r="AA317" i="8"/>
  <c r="AA316" i="8"/>
  <c r="AA320" i="8"/>
  <c r="AA324" i="8"/>
  <c r="AA321" i="8"/>
  <c r="AA315" i="8"/>
  <c r="AA319" i="8"/>
  <c r="AA323" i="8"/>
  <c r="AA318" i="8"/>
  <c r="AA322" i="8"/>
  <c r="AA326" i="8"/>
  <c r="AB125" i="20"/>
  <c r="Z129" i="20"/>
  <c r="Z130" i="20"/>
  <c r="Z131" i="20"/>
  <c r="Z132" i="20"/>
  <c r="Z133" i="20"/>
  <c r="Z134" i="20"/>
  <c r="Z135" i="20"/>
  <c r="Z136" i="20"/>
  <c r="Z137" i="20"/>
  <c r="Z128" i="20"/>
  <c r="V129" i="20"/>
  <c r="V130" i="20"/>
  <c r="V131" i="20"/>
  <c r="V132" i="20"/>
  <c r="V133" i="20"/>
  <c r="V134" i="20"/>
  <c r="V135" i="20"/>
  <c r="V136" i="20"/>
  <c r="V137" i="20"/>
  <c r="V128" i="20"/>
  <c r="X129" i="20"/>
  <c r="X130" i="20"/>
  <c r="X131" i="20"/>
  <c r="X132" i="20"/>
  <c r="X133" i="20"/>
  <c r="X134" i="20"/>
  <c r="X135" i="20"/>
  <c r="X136" i="20"/>
  <c r="X128" i="20"/>
  <c r="V138" i="20" l="1"/>
  <c r="W138" i="20"/>
  <c r="X138" i="20"/>
  <c r="Y138" i="20"/>
  <c r="Z138" i="20"/>
  <c r="AA138" i="20"/>
  <c r="U138" i="20"/>
  <c r="U139" i="20"/>
  <c r="U140" i="20"/>
  <c r="U141" i="20"/>
  <c r="U142" i="20"/>
  <c r="U143" i="20"/>
  <c r="U144" i="20"/>
  <c r="U145" i="20"/>
  <c r="U146" i="20"/>
  <c r="U147" i="20"/>
  <c r="U148" i="20"/>
  <c r="U149" i="20"/>
  <c r="U150" i="20"/>
  <c r="U151" i="20"/>
  <c r="U152" i="20"/>
  <c r="U153" i="20"/>
  <c r="U154" i="20"/>
  <c r="U155" i="20"/>
  <c r="U156" i="20"/>
  <c r="U157" i="20"/>
  <c r="O129" i="20"/>
  <c r="O130" i="20"/>
  <c r="O131" i="20"/>
  <c r="O132" i="20"/>
  <c r="O133" i="20"/>
  <c r="O134" i="20"/>
  <c r="O135" i="20"/>
  <c r="O128" i="20"/>
  <c r="N129" i="20"/>
  <c r="N130" i="20"/>
  <c r="N131" i="20"/>
  <c r="N132" i="20"/>
  <c r="N133" i="20"/>
  <c r="N134" i="20"/>
  <c r="N135" i="20"/>
  <c r="N137" i="20"/>
  <c r="N128" i="20"/>
  <c r="L129" i="20"/>
  <c r="L130" i="20"/>
  <c r="L131" i="20"/>
  <c r="L132" i="20"/>
  <c r="L133" i="20"/>
  <c r="L134" i="20"/>
  <c r="L135" i="20"/>
  <c r="L137" i="20"/>
  <c r="L128" i="20"/>
  <c r="AJ135" i="20"/>
  <c r="AJ136" i="20"/>
  <c r="AJ137" i="20"/>
  <c r="AJ138" i="20"/>
  <c r="AJ139" i="20"/>
  <c r="AJ142" i="20"/>
  <c r="AJ143" i="20"/>
  <c r="AJ144" i="20"/>
  <c r="AG148" i="20"/>
  <c r="AI148" i="20"/>
  <c r="AG149" i="20"/>
  <c r="AJ149" i="20" s="1"/>
  <c r="AI149" i="20"/>
  <c r="AG150" i="20"/>
  <c r="AI150" i="20"/>
  <c r="AG151" i="20"/>
  <c r="AI151" i="20"/>
  <c r="AG152" i="20"/>
  <c r="AJ152" i="20" s="1"/>
  <c r="AI152" i="20"/>
  <c r="AG153" i="20"/>
  <c r="AI153" i="20"/>
  <c r="AG154" i="20"/>
  <c r="AI154" i="20"/>
  <c r="AG155" i="20"/>
  <c r="AI155" i="20"/>
  <c r="AG156" i="20"/>
  <c r="AI156" i="20"/>
  <c r="AG157" i="20"/>
  <c r="AI157" i="20"/>
  <c r="AG158" i="20"/>
  <c r="AI158" i="20"/>
  <c r="AJ158" i="20" s="1"/>
  <c r="AG159" i="20"/>
  <c r="AJ159" i="20"/>
  <c r="AI159" i="20"/>
  <c r="AG160" i="20"/>
  <c r="AI160" i="20"/>
  <c r="AG161" i="20"/>
  <c r="AI161" i="20"/>
  <c r="AG162" i="20"/>
  <c r="AJ162" i="20" s="1"/>
  <c r="AI162" i="20"/>
  <c r="AG163" i="20"/>
  <c r="AJ163" i="20" s="1"/>
  <c r="AI163" i="20"/>
  <c r="AG164" i="20"/>
  <c r="AI164" i="20"/>
  <c r="AJ164" i="20" s="1"/>
  <c r="AG165" i="20"/>
  <c r="AI165" i="20"/>
  <c r="AJ165" i="20" s="1"/>
  <c r="AG166" i="20"/>
  <c r="AJ166" i="20" s="1"/>
  <c r="AI166" i="20"/>
  <c r="AG167" i="20"/>
  <c r="AJ167" i="20" s="1"/>
  <c r="AI167" i="20"/>
  <c r="AG168" i="20"/>
  <c r="AI168" i="20"/>
  <c r="AG169" i="20"/>
  <c r="AI169" i="20"/>
  <c r="AG170" i="20"/>
  <c r="AI170" i="20"/>
  <c r="AG171" i="20"/>
  <c r="AI171" i="20"/>
  <c r="AG172" i="20"/>
  <c r="AI172" i="20"/>
  <c r="AG173" i="20"/>
  <c r="AI173" i="20"/>
  <c r="AG174" i="20"/>
  <c r="AI174" i="20"/>
  <c r="AG175" i="20"/>
  <c r="AI175" i="20"/>
  <c r="AG176" i="20"/>
  <c r="AI176" i="20"/>
  <c r="AG177" i="20"/>
  <c r="AI177" i="20"/>
  <c r="AJ160" i="20"/>
  <c r="AJ161" i="20"/>
  <c r="AJ140" i="20"/>
  <c r="AJ141" i="20"/>
  <c r="AJ145" i="20"/>
  <c r="AJ146" i="20"/>
  <c r="AJ147" i="20"/>
  <c r="AJ148" i="20"/>
  <c r="AJ150" i="20"/>
  <c r="AJ151" i="20"/>
  <c r="AJ154" i="20"/>
  <c r="AJ156" i="20"/>
  <c r="AJ157" i="20"/>
  <c r="AB135" i="20"/>
  <c r="AL135" i="20" s="1"/>
  <c r="AB136" i="20"/>
  <c r="AL136" i="20" s="1"/>
  <c r="AB120" i="20"/>
  <c r="AB121" i="20"/>
  <c r="AB122" i="20"/>
  <c r="AB123" i="20"/>
  <c r="AB124" i="20"/>
  <c r="AB118" i="20"/>
  <c r="V139" i="20"/>
  <c r="W139" i="20"/>
  <c r="X139" i="20"/>
  <c r="Y139" i="20"/>
  <c r="Z139" i="20"/>
  <c r="AA139" i="20"/>
  <c r="V140" i="20"/>
  <c r="W140" i="20"/>
  <c r="X140" i="20"/>
  <c r="Y140" i="20"/>
  <c r="Z140" i="20"/>
  <c r="AA140" i="20"/>
  <c r="V141" i="20"/>
  <c r="W141" i="20"/>
  <c r="X141" i="20"/>
  <c r="Y141" i="20"/>
  <c r="Z141" i="20"/>
  <c r="AA141" i="20"/>
  <c r="V142" i="20"/>
  <c r="W142" i="20"/>
  <c r="X142" i="20"/>
  <c r="Y142" i="20"/>
  <c r="Z142" i="20"/>
  <c r="AA142" i="20"/>
  <c r="V143" i="20"/>
  <c r="W143" i="20"/>
  <c r="X143" i="20"/>
  <c r="Y143" i="20"/>
  <c r="Z143" i="20"/>
  <c r="AA143" i="20"/>
  <c r="V144" i="20"/>
  <c r="W144" i="20"/>
  <c r="AB144" i="20" s="1"/>
  <c r="X144" i="20"/>
  <c r="Y144" i="20"/>
  <c r="Z144" i="20"/>
  <c r="AA144" i="20"/>
  <c r="V145" i="20"/>
  <c r="W145" i="20"/>
  <c r="X145" i="20"/>
  <c r="Y145" i="20"/>
  <c r="Z145" i="20"/>
  <c r="AA145" i="20"/>
  <c r="V146" i="20"/>
  <c r="W146" i="20"/>
  <c r="Y146" i="20"/>
  <c r="AA146" i="20"/>
  <c r="V147" i="20"/>
  <c r="W147" i="20"/>
  <c r="Y147" i="20"/>
  <c r="AA147" i="20"/>
  <c r="V148" i="20"/>
  <c r="W148" i="20"/>
  <c r="Y148" i="20"/>
  <c r="AA148" i="20"/>
  <c r="V149" i="20"/>
  <c r="W149" i="20"/>
  <c r="Y149" i="20"/>
  <c r="AA149" i="20"/>
  <c r="V150" i="20"/>
  <c r="W150" i="20"/>
  <c r="Y150" i="20"/>
  <c r="AA150" i="20"/>
  <c r="V151" i="20"/>
  <c r="W151" i="20"/>
  <c r="X151" i="20"/>
  <c r="Y151" i="20"/>
  <c r="AA151" i="20"/>
  <c r="V152" i="20"/>
  <c r="W152" i="20"/>
  <c r="Y152" i="20"/>
  <c r="Z152" i="20"/>
  <c r="AA152" i="20"/>
  <c r="V153" i="20"/>
  <c r="W153" i="20"/>
  <c r="Y153" i="20"/>
  <c r="AA153" i="20"/>
  <c r="V154" i="20"/>
  <c r="W154" i="20"/>
  <c r="Y154" i="20"/>
  <c r="AA154" i="20"/>
  <c r="V155" i="20"/>
  <c r="W155" i="20"/>
  <c r="X155" i="20"/>
  <c r="Y155" i="20"/>
  <c r="Z155" i="20"/>
  <c r="AA155" i="20"/>
  <c r="V156" i="20"/>
  <c r="W156" i="20"/>
  <c r="X156" i="20"/>
  <c r="Y156" i="20"/>
  <c r="Z156" i="20"/>
  <c r="AA156" i="20"/>
  <c r="V157" i="20"/>
  <c r="W157" i="20"/>
  <c r="Y157" i="20"/>
  <c r="Z157" i="20"/>
  <c r="AA157" i="20"/>
  <c r="U158" i="20"/>
  <c r="V158" i="20"/>
  <c r="W158" i="20"/>
  <c r="X158" i="20"/>
  <c r="Y158" i="20"/>
  <c r="Z158" i="20"/>
  <c r="AA158" i="20"/>
  <c r="U159" i="20"/>
  <c r="V159" i="20"/>
  <c r="W159" i="20"/>
  <c r="X159" i="20"/>
  <c r="Y159" i="20"/>
  <c r="Z159" i="20"/>
  <c r="AA159" i="20"/>
  <c r="U160" i="20"/>
  <c r="V160" i="20"/>
  <c r="W160" i="20"/>
  <c r="X160" i="20"/>
  <c r="Y160" i="20"/>
  <c r="Z160" i="20"/>
  <c r="AA160" i="20"/>
  <c r="U161" i="20"/>
  <c r="V161" i="20"/>
  <c r="W161" i="20"/>
  <c r="X161" i="20"/>
  <c r="Y161" i="20"/>
  <c r="Z161" i="20"/>
  <c r="AA161" i="20"/>
  <c r="U162" i="20"/>
  <c r="V162" i="20"/>
  <c r="W162" i="20"/>
  <c r="X162" i="20"/>
  <c r="Y162" i="20"/>
  <c r="Z162" i="20"/>
  <c r="AA162" i="20"/>
  <c r="U163" i="20"/>
  <c r="V163" i="20"/>
  <c r="W163" i="20"/>
  <c r="X163" i="20"/>
  <c r="Y163" i="20"/>
  <c r="Z163" i="20"/>
  <c r="AA163" i="20"/>
  <c r="U164" i="20"/>
  <c r="V164" i="20"/>
  <c r="W164" i="20"/>
  <c r="X164" i="20"/>
  <c r="Y164" i="20"/>
  <c r="Z164" i="20"/>
  <c r="AA164" i="20"/>
  <c r="U165" i="20"/>
  <c r="V165" i="20"/>
  <c r="W165" i="20"/>
  <c r="X165" i="20"/>
  <c r="Y165" i="20"/>
  <c r="Z165" i="20"/>
  <c r="AA165" i="20"/>
  <c r="U166" i="20"/>
  <c r="V166" i="20"/>
  <c r="W166" i="20"/>
  <c r="Y166" i="20"/>
  <c r="AA166" i="20"/>
  <c r="U167" i="20"/>
  <c r="V167" i="20"/>
  <c r="W167" i="20"/>
  <c r="Y167" i="20"/>
  <c r="AA167" i="20"/>
  <c r="U168" i="20"/>
  <c r="V168" i="20"/>
  <c r="W168" i="20"/>
  <c r="Y168" i="20"/>
  <c r="AA168" i="20"/>
  <c r="U169" i="20"/>
  <c r="V169" i="20"/>
  <c r="W169" i="20"/>
  <c r="Y169" i="20"/>
  <c r="AA169" i="20"/>
  <c r="U170" i="20"/>
  <c r="V170" i="20"/>
  <c r="W170" i="20"/>
  <c r="Y170" i="20"/>
  <c r="AA170" i="20"/>
  <c r="U171" i="20"/>
  <c r="V171" i="20"/>
  <c r="W171" i="20"/>
  <c r="X171" i="20"/>
  <c r="Y171" i="20"/>
  <c r="AA171" i="20"/>
  <c r="U172" i="20"/>
  <c r="V172" i="20"/>
  <c r="W172" i="20"/>
  <c r="Y172" i="20"/>
  <c r="Z172" i="20"/>
  <c r="AA172" i="20"/>
  <c r="U173" i="20"/>
  <c r="V173" i="20"/>
  <c r="W173" i="20"/>
  <c r="Y173" i="20"/>
  <c r="AA173" i="20"/>
  <c r="U174" i="20"/>
  <c r="V174" i="20"/>
  <c r="W174" i="20"/>
  <c r="Y174" i="20"/>
  <c r="AA174" i="20"/>
  <c r="U175" i="20"/>
  <c r="V175" i="20"/>
  <c r="W175" i="20"/>
  <c r="X175" i="20"/>
  <c r="Y175" i="20"/>
  <c r="Z175" i="20"/>
  <c r="AA175" i="20"/>
  <c r="U176" i="20"/>
  <c r="V176" i="20"/>
  <c r="W176" i="20"/>
  <c r="X176" i="20"/>
  <c r="Y176" i="20"/>
  <c r="Z176" i="20"/>
  <c r="AA176" i="20"/>
  <c r="U177" i="20"/>
  <c r="V177" i="20"/>
  <c r="W177" i="20"/>
  <c r="Y177" i="20"/>
  <c r="Z177" i="20"/>
  <c r="AA177" i="20"/>
  <c r="F181" i="20"/>
  <c r="F182" i="20"/>
  <c r="F183" i="20"/>
  <c r="P135" i="20"/>
  <c r="R135" i="20" s="1"/>
  <c r="P134" i="20"/>
  <c r="R134" i="20" s="1"/>
  <c r="P128" i="20"/>
  <c r="R128" i="20" s="1"/>
  <c r="P119" i="20"/>
  <c r="P120" i="20"/>
  <c r="R120" i="20" s="1"/>
  <c r="P121" i="20"/>
  <c r="R121" i="20" s="1"/>
  <c r="P122" i="20"/>
  <c r="R122" i="20" s="1"/>
  <c r="P123" i="20"/>
  <c r="R123" i="20" s="1"/>
  <c r="P124" i="20"/>
  <c r="R124" i="20" s="1"/>
  <c r="P125" i="20"/>
  <c r="R125" i="20" s="1"/>
  <c r="R118" i="20"/>
  <c r="O148" i="20"/>
  <c r="P148" i="20" s="1"/>
  <c r="O149" i="20"/>
  <c r="P149" i="20" s="1"/>
  <c r="O150" i="20"/>
  <c r="O151" i="20"/>
  <c r="O152" i="20"/>
  <c r="O153" i="20"/>
  <c r="O154" i="20"/>
  <c r="O155" i="20"/>
  <c r="O158" i="20"/>
  <c r="O159" i="20"/>
  <c r="O160" i="20"/>
  <c r="O161" i="20"/>
  <c r="O162" i="20"/>
  <c r="O163" i="20"/>
  <c r="O164" i="20"/>
  <c r="O165" i="20"/>
  <c r="O168" i="20"/>
  <c r="O169" i="20"/>
  <c r="O170" i="20"/>
  <c r="O171" i="20"/>
  <c r="O172" i="20"/>
  <c r="O173" i="20"/>
  <c r="O174" i="20"/>
  <c r="O175" i="20"/>
  <c r="O138" i="20"/>
  <c r="O139" i="20"/>
  <c r="O140" i="20"/>
  <c r="O141" i="20"/>
  <c r="O142" i="20"/>
  <c r="O143" i="20"/>
  <c r="O144" i="20"/>
  <c r="P144" i="20" s="1"/>
  <c r="O145" i="20"/>
  <c r="N140" i="20"/>
  <c r="AB140" i="20" s="1"/>
  <c r="N141" i="20"/>
  <c r="N142" i="20"/>
  <c r="N143" i="20"/>
  <c r="N145" i="20"/>
  <c r="N147" i="20"/>
  <c r="N159" i="20"/>
  <c r="N160" i="20"/>
  <c r="N161" i="20"/>
  <c r="N162" i="20"/>
  <c r="N163" i="20"/>
  <c r="N164" i="20"/>
  <c r="N165" i="20"/>
  <c r="N167" i="20"/>
  <c r="N168" i="20"/>
  <c r="N169" i="20"/>
  <c r="N170" i="20"/>
  <c r="N171" i="20"/>
  <c r="N172" i="20"/>
  <c r="N173" i="20"/>
  <c r="N174" i="20"/>
  <c r="N175" i="20"/>
  <c r="N176" i="20"/>
  <c r="N177" i="20"/>
  <c r="N158" i="20"/>
  <c r="N150" i="20"/>
  <c r="N151" i="20"/>
  <c r="N152" i="20"/>
  <c r="N153" i="20"/>
  <c r="N155" i="20"/>
  <c r="AB155" i="20" s="1"/>
  <c r="N156" i="20"/>
  <c r="N157" i="20"/>
  <c r="AB138" i="20"/>
  <c r="L172" i="20"/>
  <c r="L173" i="20"/>
  <c r="L174" i="20"/>
  <c r="L175" i="20"/>
  <c r="L176" i="20"/>
  <c r="L177" i="20"/>
  <c r="L171" i="20"/>
  <c r="L170" i="20"/>
  <c r="L169" i="20"/>
  <c r="L168" i="20"/>
  <c r="L159" i="20"/>
  <c r="L160" i="20"/>
  <c r="L161" i="20"/>
  <c r="L162" i="20"/>
  <c r="L163" i="20"/>
  <c r="L164" i="20"/>
  <c r="L165" i="20"/>
  <c r="L167" i="20"/>
  <c r="L158" i="20"/>
  <c r="L150" i="20"/>
  <c r="P150" i="20" s="1"/>
  <c r="L151" i="20"/>
  <c r="P151" i="20" s="1"/>
  <c r="L152" i="20"/>
  <c r="P152" i="20" s="1"/>
  <c r="L153" i="20"/>
  <c r="P153" i="20" s="1"/>
  <c r="P154" i="20"/>
  <c r="L155" i="20"/>
  <c r="P155" i="20" s="1"/>
  <c r="L156" i="20"/>
  <c r="L157" i="20"/>
  <c r="L140" i="20"/>
  <c r="L141" i="20"/>
  <c r="L142" i="20"/>
  <c r="L143" i="20"/>
  <c r="L145" i="20"/>
  <c r="L147" i="20"/>
  <c r="N50" i="20"/>
  <c r="N51" i="20"/>
  <c r="N52" i="20"/>
  <c r="N53" i="20"/>
  <c r="N54" i="20"/>
  <c r="N55" i="20"/>
  <c r="N56" i="20"/>
  <c r="N57" i="20"/>
  <c r="N58" i="20"/>
  <c r="N59" i="20"/>
  <c r="N60" i="20"/>
  <c r="N61" i="20"/>
  <c r="N62" i="20"/>
  <c r="N63" i="20"/>
  <c r="N64" i="20"/>
  <c r="N65" i="20"/>
  <c r="N66" i="20"/>
  <c r="N67" i="20"/>
  <c r="N68" i="20"/>
  <c r="N14" i="20"/>
  <c r="N15" i="20"/>
  <c r="N16" i="20"/>
  <c r="N17" i="20"/>
  <c r="N18" i="20"/>
  <c r="N19" i="20"/>
  <c r="N20" i="20"/>
  <c r="N21" i="20"/>
  <c r="N22" i="20"/>
  <c r="N23" i="20"/>
  <c r="N24" i="20"/>
  <c r="N25" i="20"/>
  <c r="N26" i="20"/>
  <c r="N27" i="20"/>
  <c r="N28" i="20"/>
  <c r="N29" i="20"/>
  <c r="N30" i="20"/>
  <c r="N31" i="20"/>
  <c r="N32" i="20"/>
  <c r="N33" i="20"/>
  <c r="N34" i="20"/>
  <c r="N35" i="20"/>
  <c r="N36" i="20"/>
  <c r="N37" i="20"/>
  <c r="N38" i="20"/>
  <c r="N39" i="20"/>
  <c r="N40" i="20"/>
  <c r="N41" i="20"/>
  <c r="N42" i="20"/>
  <c r="N43" i="20"/>
  <c r="N44" i="20"/>
  <c r="N45" i="20"/>
  <c r="N46" i="20"/>
  <c r="N47" i="20"/>
  <c r="N48" i="20"/>
  <c r="N49" i="20"/>
  <c r="N10" i="20"/>
  <c r="N11" i="20"/>
  <c r="N12" i="20"/>
  <c r="N13" i="20"/>
  <c r="N9" i="20"/>
  <c r="G18" i="20"/>
  <c r="G23" i="20"/>
  <c r="G27" i="20"/>
  <c r="G28" i="20"/>
  <c r="G33" i="20"/>
  <c r="G37" i="20"/>
  <c r="G38" i="20"/>
  <c r="G43" i="20"/>
  <c r="G47" i="20"/>
  <c r="G48" i="20"/>
  <c r="G53" i="20"/>
  <c r="G57" i="20"/>
  <c r="G58" i="20"/>
  <c r="G63" i="20"/>
  <c r="G67" i="20"/>
  <c r="G68" i="20"/>
  <c r="AB156" i="20" l="1"/>
  <c r="AB176" i="20"/>
  <c r="AB175" i="20"/>
  <c r="P143" i="20"/>
  <c r="P163" i="20"/>
  <c r="AB143" i="20"/>
  <c r="AL143" i="20" s="1"/>
  <c r="AB161" i="20"/>
  <c r="P168" i="20"/>
  <c r="AB142" i="20"/>
  <c r="P140" i="20"/>
  <c r="P160" i="20"/>
  <c r="AJ170" i="20"/>
  <c r="AJ169" i="20"/>
  <c r="AJ168" i="20"/>
  <c r="AL144" i="20"/>
  <c r="AL138" i="20"/>
  <c r="AL142" i="20"/>
  <c r="AL161" i="20"/>
  <c r="AL140" i="20"/>
  <c r="AB163" i="20"/>
  <c r="AL163" i="20" s="1"/>
  <c r="P145" i="20"/>
  <c r="P165" i="20"/>
  <c r="AB164" i="20"/>
  <c r="AL164" i="20" s="1"/>
  <c r="P164" i="20"/>
  <c r="P142" i="20"/>
  <c r="P162" i="20"/>
  <c r="AB141" i="20"/>
  <c r="AL141" i="20" s="1"/>
  <c r="P141" i="20"/>
  <c r="P161" i="20"/>
  <c r="P139" i="20"/>
  <c r="P159" i="20"/>
  <c r="AB159" i="20"/>
  <c r="AL159" i="20" s="1"/>
  <c r="AB139" i="20"/>
  <c r="AL139" i="20" s="1"/>
  <c r="P138" i="20"/>
  <c r="P171" i="20"/>
  <c r="P170" i="20"/>
  <c r="P169" i="20"/>
  <c r="AJ153" i="20"/>
  <c r="AL156" i="20"/>
  <c r="AJ155" i="20"/>
  <c r="AL155" i="20" s="1"/>
  <c r="P158" i="20"/>
  <c r="AB145" i="20"/>
  <c r="AL145" i="20" s="1"/>
  <c r="AB162" i="20"/>
  <c r="AL162" i="20" s="1"/>
  <c r="AB160" i="20"/>
  <c r="AL160" i="20" s="1"/>
  <c r="AB158" i="20"/>
  <c r="AL158" i="20" s="1"/>
  <c r="AB165" i="20"/>
  <c r="AL165" i="20" s="1"/>
  <c r="AN135" i="20"/>
  <c r="Q104" i="11"/>
  <c r="L104" i="11"/>
  <c r="G104" i="11"/>
  <c r="G13" i="20" s="1"/>
  <c r="Q38" i="11"/>
  <c r="E120" i="9"/>
  <c r="E81" i="10"/>
  <c r="K22" i="8"/>
  <c r="K21" i="8"/>
  <c r="K20" i="8"/>
  <c r="K14" i="8"/>
  <c r="K13" i="8"/>
  <c r="K12" i="8"/>
  <c r="K11" i="8"/>
  <c r="M508" i="8" l="1"/>
  <c r="N508" i="8"/>
  <c r="O508" i="8"/>
  <c r="M509" i="8"/>
  <c r="N509" i="8"/>
  <c r="O509" i="8"/>
  <c r="M510" i="8"/>
  <c r="N510" i="8"/>
  <c r="O510" i="8"/>
  <c r="M764" i="8" s="1"/>
  <c r="M511" i="8"/>
  <c r="N511" i="8"/>
  <c r="O511" i="8"/>
  <c r="M512" i="8"/>
  <c r="N512" i="8"/>
  <c r="O512" i="8"/>
  <c r="M513" i="8"/>
  <c r="N513" i="8"/>
  <c r="O513" i="8"/>
  <c r="M514" i="8"/>
  <c r="N514" i="8"/>
  <c r="O514" i="8"/>
  <c r="M768" i="8" s="1"/>
  <c r="M515" i="8"/>
  <c r="N515" i="8"/>
  <c r="O515" i="8"/>
  <c r="M516" i="8"/>
  <c r="N516" i="8"/>
  <c r="O516" i="8"/>
  <c r="M517" i="8"/>
  <c r="N517" i="8"/>
  <c r="O517" i="8"/>
  <c r="M518" i="8"/>
  <c r="N518" i="8"/>
  <c r="O518" i="8"/>
  <c r="M772" i="8" s="1"/>
  <c r="N507" i="8"/>
  <c r="O507" i="8"/>
  <c r="N121" i="9"/>
  <c r="O121" i="9"/>
  <c r="P121" i="9"/>
  <c r="Q121" i="9"/>
  <c r="R121" i="9"/>
  <c r="S121" i="9"/>
  <c r="T121" i="9"/>
  <c r="U121" i="9"/>
  <c r="V121" i="9"/>
  <c r="W121" i="9"/>
  <c r="X121" i="9"/>
  <c r="Y121" i="9"/>
  <c r="L767" i="8" l="1"/>
  <c r="K577" i="8"/>
  <c r="K571" i="8"/>
  <c r="K762" i="8"/>
  <c r="F550" i="8"/>
  <c r="F551" i="8"/>
  <c r="F554" i="8"/>
  <c r="F542" i="8"/>
  <c r="F558" i="8"/>
  <c r="K770" i="8"/>
  <c r="N554" i="8"/>
  <c r="N542" i="8"/>
  <c r="N558" i="8"/>
  <c r="N550" i="8"/>
  <c r="N551" i="8"/>
  <c r="K766" i="8"/>
  <c r="J551" i="8"/>
  <c r="J554" i="8"/>
  <c r="J542" i="8"/>
  <c r="J558" i="8"/>
  <c r="J550" i="8"/>
  <c r="L763" i="8"/>
  <c r="G577" i="8"/>
  <c r="G571" i="8"/>
  <c r="K769" i="8"/>
  <c r="M551" i="8"/>
  <c r="M554" i="8"/>
  <c r="M542" i="8"/>
  <c r="M558" i="8"/>
  <c r="M550" i="8"/>
  <c r="J577" i="8"/>
  <c r="J571" i="8"/>
  <c r="K765" i="8"/>
  <c r="I550" i="8"/>
  <c r="I551" i="8"/>
  <c r="I554" i="8"/>
  <c r="I542" i="8"/>
  <c r="I558" i="8"/>
  <c r="F571" i="8"/>
  <c r="F577" i="8"/>
  <c r="L771" i="8"/>
  <c r="O571" i="8"/>
  <c r="O577" i="8"/>
  <c r="E577" i="8"/>
  <c r="E571" i="8"/>
  <c r="N571" i="8"/>
  <c r="N577" i="8"/>
  <c r="K772" i="8"/>
  <c r="P542" i="8"/>
  <c r="P558" i="8"/>
  <c r="P550" i="8"/>
  <c r="P551" i="8"/>
  <c r="P554" i="8"/>
  <c r="M571" i="8"/>
  <c r="M577" i="8"/>
  <c r="K768" i="8"/>
  <c r="L554" i="8"/>
  <c r="L542" i="8"/>
  <c r="L558" i="8"/>
  <c r="L550" i="8"/>
  <c r="L551" i="8"/>
  <c r="I571" i="8"/>
  <c r="I577" i="8"/>
  <c r="K764" i="8"/>
  <c r="H551" i="8"/>
  <c r="H554" i="8"/>
  <c r="H542" i="8"/>
  <c r="H558" i="8"/>
  <c r="H550" i="8"/>
  <c r="P577" i="8"/>
  <c r="P571" i="8"/>
  <c r="K771" i="8"/>
  <c r="O558" i="8"/>
  <c r="O554" i="8"/>
  <c r="O550" i="8"/>
  <c r="O551" i="8"/>
  <c r="O542" i="8"/>
  <c r="L577" i="8"/>
  <c r="L571" i="8"/>
  <c r="K767" i="8"/>
  <c r="K558" i="8"/>
  <c r="K542" i="8"/>
  <c r="K554" i="8"/>
  <c r="K551" i="8"/>
  <c r="K550" i="8"/>
  <c r="H571" i="8"/>
  <c r="H577" i="8"/>
  <c r="K763" i="8"/>
  <c r="G554" i="8"/>
  <c r="G558" i="8"/>
  <c r="G551" i="8"/>
  <c r="G550" i="8"/>
  <c r="G542" i="8"/>
  <c r="L761" i="8"/>
  <c r="M771" i="8"/>
  <c r="L770" i="8"/>
  <c r="M767" i="8"/>
  <c r="L766" i="8"/>
  <c r="M763" i="8"/>
  <c r="L762" i="8"/>
  <c r="M761" i="8"/>
  <c r="M770" i="8"/>
  <c r="L769" i="8"/>
  <c r="M766" i="8"/>
  <c r="L765" i="8"/>
  <c r="M762" i="8"/>
  <c r="L772" i="8"/>
  <c r="M769" i="8"/>
  <c r="L768" i="8"/>
  <c r="M765" i="8"/>
  <c r="L764" i="8"/>
  <c r="G614" i="8" l="1"/>
  <c r="G686" i="8"/>
  <c r="G626" i="8"/>
  <c r="G698" i="8"/>
  <c r="K622" i="8"/>
  <c r="K694" i="8"/>
  <c r="K630" i="8"/>
  <c r="K702" i="8"/>
  <c r="O614" i="8"/>
  <c r="O686" i="8"/>
  <c r="O630" i="8"/>
  <c r="O702" i="8"/>
  <c r="H622" i="8"/>
  <c r="H694" i="8"/>
  <c r="H623" i="8"/>
  <c r="H695" i="8"/>
  <c r="L623" i="8"/>
  <c r="L695" i="8"/>
  <c r="L626" i="8"/>
  <c r="L698" i="8"/>
  <c r="P626" i="8"/>
  <c r="P698" i="8"/>
  <c r="P614" i="8"/>
  <c r="P686" i="8"/>
  <c r="E643" i="8"/>
  <c r="E715" i="8"/>
  <c r="I614" i="8"/>
  <c r="I686" i="8"/>
  <c r="M630" i="8"/>
  <c r="M702" i="8"/>
  <c r="J622" i="8"/>
  <c r="J694" i="8"/>
  <c r="J623" i="8"/>
  <c r="J695" i="8"/>
  <c r="N630" i="8"/>
  <c r="N702" i="8"/>
  <c r="F630" i="8"/>
  <c r="F702" i="8"/>
  <c r="F622" i="8"/>
  <c r="F694" i="8"/>
  <c r="G630" i="8"/>
  <c r="G702" i="8"/>
  <c r="H643" i="8"/>
  <c r="H715" i="8"/>
  <c r="K614" i="8"/>
  <c r="K686" i="8"/>
  <c r="L649" i="8"/>
  <c r="L721" i="8"/>
  <c r="O626" i="8"/>
  <c r="O698" i="8"/>
  <c r="P649" i="8"/>
  <c r="P721" i="8"/>
  <c r="H626" i="8"/>
  <c r="H698" i="8"/>
  <c r="I643" i="8"/>
  <c r="I715" i="8"/>
  <c r="L614" i="8"/>
  <c r="L686" i="8"/>
  <c r="M643" i="8"/>
  <c r="M715" i="8"/>
  <c r="P630" i="8"/>
  <c r="P702" i="8"/>
  <c r="N643" i="8"/>
  <c r="N715" i="8"/>
  <c r="O643" i="8"/>
  <c r="O715" i="8"/>
  <c r="I630" i="8"/>
  <c r="I702" i="8"/>
  <c r="I622" i="8"/>
  <c r="I694" i="8"/>
  <c r="M622" i="8"/>
  <c r="M694" i="8"/>
  <c r="M623" i="8"/>
  <c r="M695" i="8"/>
  <c r="J626" i="8"/>
  <c r="J698" i="8"/>
  <c r="N622" i="8"/>
  <c r="N694" i="8"/>
  <c r="F623" i="8"/>
  <c r="F695" i="8"/>
  <c r="K649" i="8"/>
  <c r="K721" i="8"/>
  <c r="G623" i="8"/>
  <c r="G695" i="8"/>
  <c r="H649" i="8"/>
  <c r="H721" i="8"/>
  <c r="K626" i="8"/>
  <c r="K698" i="8"/>
  <c r="L643" i="8"/>
  <c r="L715" i="8"/>
  <c r="O622" i="8"/>
  <c r="O694" i="8"/>
  <c r="P643" i="8"/>
  <c r="P715" i="8"/>
  <c r="H614" i="8"/>
  <c r="H686" i="8"/>
  <c r="I649" i="8"/>
  <c r="I721" i="8"/>
  <c r="L630" i="8"/>
  <c r="L702" i="8"/>
  <c r="M649" i="8"/>
  <c r="M721" i="8"/>
  <c r="P622" i="8"/>
  <c r="P694" i="8"/>
  <c r="N649" i="8"/>
  <c r="N721" i="8"/>
  <c r="O649" i="8"/>
  <c r="O721" i="8"/>
  <c r="F643" i="8"/>
  <c r="F715" i="8"/>
  <c r="I623" i="8"/>
  <c r="I695" i="8"/>
  <c r="J649" i="8"/>
  <c r="J721" i="8"/>
  <c r="M626" i="8"/>
  <c r="M698" i="8"/>
  <c r="G649" i="8"/>
  <c r="G721" i="8"/>
  <c r="J614" i="8"/>
  <c r="J686" i="8"/>
  <c r="N623" i="8"/>
  <c r="N695" i="8"/>
  <c r="N626" i="8"/>
  <c r="N698" i="8"/>
  <c r="F626" i="8"/>
  <c r="F698" i="8"/>
  <c r="K643" i="8"/>
  <c r="K715" i="8"/>
  <c r="G622" i="8"/>
  <c r="G694" i="8"/>
  <c r="K623" i="8"/>
  <c r="K695" i="8"/>
  <c r="O623" i="8"/>
  <c r="O695" i="8"/>
  <c r="H630" i="8"/>
  <c r="H702" i="8"/>
  <c r="L622" i="8"/>
  <c r="L694" i="8"/>
  <c r="P623" i="8"/>
  <c r="P695" i="8"/>
  <c r="E649" i="8"/>
  <c r="E721" i="8"/>
  <c r="F649" i="8"/>
  <c r="F721" i="8"/>
  <c r="I626" i="8"/>
  <c r="I698" i="8"/>
  <c r="J643" i="8"/>
  <c r="J715" i="8"/>
  <c r="M614" i="8"/>
  <c r="M686" i="8"/>
  <c r="G643" i="8"/>
  <c r="G715" i="8"/>
  <c r="J630" i="8"/>
  <c r="J702" i="8"/>
  <c r="N614" i="8"/>
  <c r="N686" i="8"/>
  <c r="F614" i="8"/>
  <c r="F686" i="8"/>
  <c r="D233" i="8"/>
  <c r="F220" i="8"/>
  <c r="F212" i="8" l="1"/>
  <c r="F210" i="8"/>
  <c r="F184" i="8" l="1"/>
  <c r="I181" i="8"/>
  <c r="F182" i="8"/>
  <c r="I169" i="8"/>
  <c r="H86" i="3" l="1"/>
  <c r="H103" i="3"/>
  <c r="H60" i="3"/>
  <c r="K82" i="1"/>
  <c r="K99" i="1" s="1"/>
  <c r="Q91" i="1"/>
  <c r="Q118" i="1" s="1"/>
  <c r="H164" i="3" s="1"/>
  <c r="E91" i="1"/>
  <c r="H33" i="3" s="1"/>
  <c r="E118" i="1"/>
  <c r="I298" i="8"/>
  <c r="I295" i="8"/>
  <c r="I293" i="8"/>
  <c r="I290" i="8"/>
  <c r="I288" i="8"/>
  <c r="I286" i="8"/>
  <c r="I283" i="8"/>
  <c r="I279" i="8"/>
  <c r="I276" i="8"/>
  <c r="I273" i="8"/>
  <c r="I270" i="8"/>
  <c r="I268" i="8"/>
  <c r="I265" i="8"/>
  <c r="I261" i="8"/>
  <c r="I258" i="8"/>
  <c r="I254" i="8"/>
  <c r="I251" i="8"/>
  <c r="I216" i="8"/>
  <c r="I213" i="8"/>
  <c r="I211" i="8"/>
  <c r="I208" i="8"/>
  <c r="I206" i="8"/>
  <c r="I204" i="8"/>
  <c r="I201" i="8"/>
  <c r="I197" i="8"/>
  <c r="I194" i="8"/>
  <c r="I191" i="8"/>
  <c r="I188" i="8"/>
  <c r="I186" i="8"/>
  <c r="I183" i="8"/>
  <c r="I179" i="8"/>
  <c r="I176" i="8"/>
  <c r="I172" i="8"/>
  <c r="E170" i="8"/>
  <c r="E171" i="8"/>
  <c r="E173" i="8"/>
  <c r="E174" i="8"/>
  <c r="E175" i="8"/>
  <c r="E177" i="8"/>
  <c r="E178" i="8"/>
  <c r="E180" i="8"/>
  <c r="E182" i="8"/>
  <c r="E184" i="8"/>
  <c r="E185" i="8"/>
  <c r="E187" i="8"/>
  <c r="E189" i="8"/>
  <c r="E190" i="8"/>
  <c r="E192" i="8"/>
  <c r="E193" i="8"/>
  <c r="E195" i="8"/>
  <c r="E196" i="8"/>
  <c r="E198" i="8"/>
  <c r="E199" i="8"/>
  <c r="E200" i="8"/>
  <c r="E202" i="8"/>
  <c r="E203" i="8"/>
  <c r="E205" i="8"/>
  <c r="E207" i="8"/>
  <c r="E209" i="8"/>
  <c r="E210" i="8"/>
  <c r="E212" i="8"/>
  <c r="E214" i="8"/>
  <c r="E215"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2" i="8"/>
  <c r="E253" i="8"/>
  <c r="E255" i="8"/>
  <c r="E256" i="8"/>
  <c r="E257" i="8"/>
  <c r="E259" i="8"/>
  <c r="E260" i="8"/>
  <c r="E262" i="8"/>
  <c r="E263" i="8"/>
  <c r="E264" i="8"/>
  <c r="E266" i="8"/>
  <c r="E267" i="8"/>
  <c r="E269" i="8"/>
  <c r="E271" i="8"/>
  <c r="E272" i="8"/>
  <c r="E274" i="8"/>
  <c r="E275" i="8"/>
  <c r="E277" i="8"/>
  <c r="E278" i="8"/>
  <c r="E280" i="8"/>
  <c r="E281" i="8"/>
  <c r="E282" i="8"/>
  <c r="E284" i="8"/>
  <c r="E285" i="8"/>
  <c r="E287" i="8"/>
  <c r="E289" i="8"/>
  <c r="E291" i="8"/>
  <c r="E292" i="8"/>
  <c r="E294" i="8"/>
  <c r="E296" i="8"/>
  <c r="E297" i="8"/>
  <c r="F249" i="8"/>
  <c r="F250" i="8"/>
  <c r="F252" i="8"/>
  <c r="F253" i="8"/>
  <c r="F255" i="8"/>
  <c r="F256" i="8"/>
  <c r="F257" i="8"/>
  <c r="F259" i="8"/>
  <c r="F260" i="8"/>
  <c r="F262" i="8"/>
  <c r="F263" i="8"/>
  <c r="F264" i="8"/>
  <c r="F266" i="8"/>
  <c r="F267" i="8"/>
  <c r="F269" i="8"/>
  <c r="F271" i="8"/>
  <c r="F272" i="8"/>
  <c r="F274" i="8"/>
  <c r="F275" i="8"/>
  <c r="F277" i="8"/>
  <c r="F278" i="8"/>
  <c r="F280" i="8"/>
  <c r="F281" i="8"/>
  <c r="F282" i="8"/>
  <c r="F284" i="8"/>
  <c r="F285" i="8"/>
  <c r="F287" i="8"/>
  <c r="F289" i="8"/>
  <c r="F291" i="8"/>
  <c r="F292" i="8"/>
  <c r="F294" i="8"/>
  <c r="F296" i="8"/>
  <c r="F297"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49" i="8"/>
  <c r="F226" i="8"/>
  <c r="F227" i="8"/>
  <c r="F228" i="8"/>
  <c r="F229" i="8"/>
  <c r="F230" i="8"/>
  <c r="F231" i="8"/>
  <c r="F232" i="8"/>
  <c r="F233" i="8"/>
  <c r="F234" i="8"/>
  <c r="F235" i="8"/>
  <c r="F236" i="8"/>
  <c r="F237" i="8"/>
  <c r="F238" i="8"/>
  <c r="F239" i="8"/>
  <c r="F240" i="8"/>
  <c r="F241" i="8"/>
  <c r="F242" i="8"/>
  <c r="F243" i="8"/>
  <c r="F244" i="8"/>
  <c r="F245" i="8"/>
  <c r="F246" i="8"/>
  <c r="F247" i="8"/>
  <c r="F248" i="8"/>
  <c r="D218" i="8"/>
  <c r="D219" i="8"/>
  <c r="D220" i="8"/>
  <c r="D221" i="8"/>
  <c r="D222" i="8"/>
  <c r="D223" i="8"/>
  <c r="D224" i="8"/>
  <c r="D225" i="8"/>
  <c r="D226" i="8"/>
  <c r="D227" i="8"/>
  <c r="D228" i="8"/>
  <c r="D229" i="8"/>
  <c r="D230" i="8"/>
  <c r="D231" i="8"/>
  <c r="D232" i="8"/>
  <c r="D234" i="8"/>
  <c r="D235" i="8"/>
  <c r="D236" i="8"/>
  <c r="D237" i="8"/>
  <c r="D238" i="8"/>
  <c r="D239" i="8"/>
  <c r="D240" i="8"/>
  <c r="D241" i="8"/>
  <c r="D242" i="8"/>
  <c r="D243" i="8"/>
  <c r="D244" i="8"/>
  <c r="D245" i="8"/>
  <c r="D246" i="8"/>
  <c r="D247" i="8"/>
  <c r="D248" i="8"/>
  <c r="D21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167" i="8"/>
  <c r="D69" i="8"/>
  <c r="D67" i="8"/>
  <c r="D66" i="8"/>
  <c r="D64" i="8"/>
  <c r="D62" i="8"/>
  <c r="D61" i="8"/>
  <c r="D59" i="8"/>
  <c r="D57" i="8"/>
  <c r="D56" i="8"/>
  <c r="D54" i="8"/>
  <c r="D52" i="8"/>
  <c r="D51" i="8"/>
  <c r="D49" i="8"/>
  <c r="D47" i="8"/>
  <c r="D46" i="8"/>
  <c r="D44" i="8"/>
  <c r="D42" i="8"/>
  <c r="D41" i="8"/>
  <c r="D39" i="8"/>
  <c r="D37" i="8"/>
  <c r="D36" i="8"/>
  <c r="D34" i="8"/>
  <c r="D32" i="8"/>
  <c r="D31" i="8"/>
  <c r="D29" i="8"/>
  <c r="D27" i="8"/>
  <c r="D26" i="8"/>
  <c r="D24" i="8"/>
  <c r="D22" i="8"/>
  <c r="D21" i="8"/>
  <c r="D19" i="8"/>
  <c r="D17" i="8"/>
  <c r="D16" i="8"/>
  <c r="D14" i="8"/>
  <c r="D12" i="8"/>
  <c r="D11" i="8"/>
  <c r="H137" i="3" l="1"/>
  <c r="D56" i="6"/>
  <c r="D55" i="6"/>
  <c r="D48" i="6"/>
  <c r="D49" i="6"/>
  <c r="F49" i="6"/>
  <c r="F46" i="6"/>
  <c r="F44" i="6"/>
  <c r="F43" i="6"/>
  <c r="F48" i="6" s="1"/>
  <c r="F42" i="6"/>
  <c r="F47" i="6" s="1"/>
  <c r="F41" i="6"/>
  <c r="F40" i="6"/>
  <c r="F45" i="6" s="1"/>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66" i="3"/>
  <c r="F271" i="3"/>
  <c r="F274" i="3"/>
  <c r="F276" i="3"/>
  <c r="F275" i="3"/>
  <c r="F273" i="3"/>
  <c r="F272" i="3"/>
  <c r="F270" i="3"/>
  <c r="F269" i="3"/>
  <c r="F267" i="3"/>
  <c r="F268" i="3"/>
  <c r="O272" i="3"/>
  <c r="P270" i="3"/>
  <c r="P272" i="3"/>
  <c r="P271" i="3"/>
  <c r="O270" i="3" l="1"/>
  <c r="O271" i="3"/>
  <c r="M272" i="3"/>
  <c r="M271" i="3"/>
  <c r="M270" i="3"/>
  <c r="M269" i="3"/>
  <c r="M268" i="3"/>
  <c r="O253" i="3"/>
  <c r="O254" i="3"/>
  <c r="E254" i="3" s="1"/>
  <c r="N271" i="3" s="1"/>
  <c r="E253" i="3" l="1"/>
  <c r="N270" i="3" s="1"/>
  <c r="G301" i="3"/>
  <c r="G292" i="3"/>
  <c r="G290" i="3"/>
  <c r="G283" i="3"/>
  <c r="G276" i="3"/>
  <c r="G272" i="3"/>
  <c r="G268" i="3"/>
  <c r="G325" i="3"/>
  <c r="G314" i="3"/>
  <c r="G287" i="3"/>
  <c r="G320" i="3"/>
  <c r="G309" i="3"/>
  <c r="G305" i="3"/>
  <c r="G303" i="3"/>
  <c r="G298" i="3"/>
  <c r="G294" i="3"/>
  <c r="G279" i="3"/>
  <c r="G270" i="3"/>
  <c r="G331" i="3"/>
  <c r="G327" i="3"/>
  <c r="G323" i="3"/>
  <c r="G316" i="3"/>
  <c r="G312" i="3"/>
  <c r="G281" i="3"/>
  <c r="G307" i="3"/>
  <c r="G296" i="3"/>
  <c r="G291" i="3"/>
  <c r="G285" i="3"/>
  <c r="G280" i="3"/>
  <c r="G329" i="3"/>
  <c r="G269" i="3"/>
  <c r="G324" i="3"/>
  <c r="G318" i="3"/>
  <c r="G313" i="3"/>
  <c r="G274" i="3"/>
  <c r="G302" i="3"/>
  <c r="L270" i="3"/>
  <c r="L271" i="3"/>
  <c r="G101" i="3"/>
  <c r="G247" i="8" s="1"/>
  <c r="Q90" i="1"/>
  <c r="H136" i="3" s="1"/>
  <c r="Q85" i="1"/>
  <c r="H131" i="3" s="1"/>
  <c r="Q82" i="1"/>
  <c r="H128" i="3" s="1"/>
  <c r="Q78" i="1"/>
  <c r="H124" i="3" s="1"/>
  <c r="G12" i="3" l="1"/>
  <c r="G26" i="3"/>
  <c r="G185" i="8" s="1"/>
  <c r="G36" i="3"/>
  <c r="G193" i="8" s="1"/>
  <c r="G50" i="3"/>
  <c r="G207" i="8" s="1"/>
  <c r="G57" i="3"/>
  <c r="G214" i="8" s="1"/>
  <c r="G72" i="3"/>
  <c r="G219" i="8" s="1"/>
  <c r="G81" i="3"/>
  <c r="G228" i="8" s="1"/>
  <c r="G87" i="3"/>
  <c r="G233" i="8" s="1"/>
  <c r="G96" i="3"/>
  <c r="G242" i="8" s="1"/>
  <c r="G100" i="3"/>
  <c r="G246" i="8" s="1"/>
  <c r="G11" i="3"/>
  <c r="G170" i="8" s="1"/>
  <c r="G25" i="3"/>
  <c r="G184" i="8" s="1"/>
  <c r="G35" i="3"/>
  <c r="G192" i="8" s="1"/>
  <c r="G48" i="3"/>
  <c r="G205" i="8" s="1"/>
  <c r="G55" i="3"/>
  <c r="G212" i="8" s="1"/>
  <c r="G71" i="3"/>
  <c r="G218" i="8" s="1"/>
  <c r="G80" i="3"/>
  <c r="G227" i="8" s="1"/>
  <c r="G84" i="3"/>
  <c r="G231" i="8" s="1"/>
  <c r="G90" i="3"/>
  <c r="G236" i="8" s="1"/>
  <c r="G99" i="3"/>
  <c r="G245" i="8" s="1"/>
  <c r="G9" i="3"/>
  <c r="G23" i="3"/>
  <c r="G182" i="8" s="1"/>
  <c r="G30" i="3"/>
  <c r="G189" i="8" s="1"/>
  <c r="G39" i="3"/>
  <c r="G196" i="8" s="1"/>
  <c r="G53" i="3"/>
  <c r="G210" i="8" s="1"/>
  <c r="G70" i="3"/>
  <c r="G217" i="8" s="1"/>
  <c r="G79" i="3"/>
  <c r="G226" i="8" s="1"/>
  <c r="G83" i="3"/>
  <c r="G230" i="8" s="1"/>
  <c r="G89" i="3"/>
  <c r="G235" i="8" s="1"/>
  <c r="G98" i="3"/>
  <c r="G244" i="8" s="1"/>
  <c r="G21" i="3"/>
  <c r="G180" i="8" s="1"/>
  <c r="G28" i="3"/>
  <c r="G187" i="8" s="1"/>
  <c r="G38" i="3"/>
  <c r="G195" i="8" s="1"/>
  <c r="G52" i="3"/>
  <c r="G209" i="8" s="1"/>
  <c r="G73" i="3"/>
  <c r="G220" i="8" s="1"/>
  <c r="G82" i="3"/>
  <c r="G229" i="8" s="1"/>
  <c r="G88" i="3"/>
  <c r="G234" i="8" s="1"/>
  <c r="G97" i="3"/>
  <c r="G243" i="8" s="1"/>
  <c r="E320" i="3"/>
  <c r="H320" i="3" s="1"/>
  <c r="I320" i="3" s="1"/>
  <c r="E309" i="3"/>
  <c r="H309" i="3" s="1"/>
  <c r="I309" i="3" s="1"/>
  <c r="E305" i="3"/>
  <c r="H305" i="3" s="1"/>
  <c r="E303" i="3"/>
  <c r="H303" i="3" s="1"/>
  <c r="E298" i="3"/>
  <c r="H298" i="3" s="1"/>
  <c r="I298" i="3" s="1"/>
  <c r="E294" i="3"/>
  <c r="H294" i="3" s="1"/>
  <c r="E276" i="3"/>
  <c r="E272" i="3"/>
  <c r="H272" i="3" s="1"/>
  <c r="E268" i="3"/>
  <c r="H268" i="3" s="1"/>
  <c r="E331" i="3"/>
  <c r="H331" i="3" s="1"/>
  <c r="I331" i="3" s="1"/>
  <c r="E327" i="3"/>
  <c r="H327" i="3" s="1"/>
  <c r="E323" i="3"/>
  <c r="E316" i="3"/>
  <c r="H316" i="3" s="1"/>
  <c r="E312" i="3"/>
  <c r="H312" i="3" s="1"/>
  <c r="E281" i="3"/>
  <c r="H281" i="3" s="1"/>
  <c r="E301" i="3"/>
  <c r="H301" i="3" s="1"/>
  <c r="E292" i="3"/>
  <c r="H292" i="3" s="1"/>
  <c r="E290" i="3"/>
  <c r="H290" i="3" s="1"/>
  <c r="E270" i="3"/>
  <c r="H270" i="3" s="1"/>
  <c r="E325" i="3"/>
  <c r="H325" i="3" s="1"/>
  <c r="E314" i="3"/>
  <c r="H314" i="3" s="1"/>
  <c r="E287" i="3"/>
  <c r="E283" i="3"/>
  <c r="H283" i="3" s="1"/>
  <c r="E279" i="3"/>
  <c r="H279" i="3" s="1"/>
  <c r="H323" i="3"/>
  <c r="H287" i="3"/>
  <c r="I287" i="3" s="1"/>
  <c r="E324" i="3"/>
  <c r="H324" i="3" s="1"/>
  <c r="I324" i="3" s="1"/>
  <c r="E318" i="3"/>
  <c r="H318" i="3" s="1"/>
  <c r="E313" i="3"/>
  <c r="H313" i="3" s="1"/>
  <c r="I313" i="3" s="1"/>
  <c r="E280" i="3"/>
  <c r="H280" i="3" s="1"/>
  <c r="I280" i="3" s="1"/>
  <c r="E302" i="3"/>
  <c r="H302" i="3" s="1"/>
  <c r="I302" i="3" s="1"/>
  <c r="E285" i="3"/>
  <c r="H285" i="3" s="1"/>
  <c r="E269" i="3"/>
  <c r="H269" i="3" s="1"/>
  <c r="I269" i="3" s="1"/>
  <c r="E307" i="3"/>
  <c r="H307" i="3" s="1"/>
  <c r="E296" i="3"/>
  <c r="H296" i="3" s="1"/>
  <c r="E291" i="3"/>
  <c r="H291" i="3" s="1"/>
  <c r="E274" i="3"/>
  <c r="H274" i="3" s="1"/>
  <c r="E329" i="3"/>
  <c r="H329" i="3" s="1"/>
  <c r="Q71" i="1"/>
  <c r="Q68" i="1"/>
  <c r="Q117" i="1"/>
  <c r="H163" i="3" s="1"/>
  <c r="Q89" i="1"/>
  <c r="Q88" i="1"/>
  <c r="Q86" i="1"/>
  <c r="Q112" i="1"/>
  <c r="H158" i="3" s="1"/>
  <c r="Q84" i="1"/>
  <c r="Q83" i="1"/>
  <c r="Q109" i="1"/>
  <c r="H155" i="3" s="1"/>
  <c r="Q81" i="1"/>
  <c r="Q79" i="1"/>
  <c r="Q105" i="1"/>
  <c r="H151" i="3" s="1"/>
  <c r="Q77" i="1"/>
  <c r="Q76" i="1"/>
  <c r="Q74" i="1"/>
  <c r="Q73" i="1"/>
  <c r="Q72" i="1"/>
  <c r="Q70" i="1"/>
  <c r="Q69" i="1"/>
  <c r="Q67" i="1"/>
  <c r="Q66" i="1"/>
  <c r="E90" i="1"/>
  <c r="H32" i="3" s="1"/>
  <c r="E85" i="1"/>
  <c r="H27" i="3" s="1"/>
  <c r="E82" i="1"/>
  <c r="H24" i="3" s="1"/>
  <c r="E78" i="1"/>
  <c r="H20" i="3" s="1"/>
  <c r="I20" i="3" s="1"/>
  <c r="K81" i="1"/>
  <c r="K80" i="1"/>
  <c r="K79" i="1"/>
  <c r="K78" i="1"/>
  <c r="K77" i="1"/>
  <c r="K76" i="1"/>
  <c r="K75" i="1"/>
  <c r="K74" i="1"/>
  <c r="K73" i="1"/>
  <c r="K72" i="1"/>
  <c r="K71" i="1"/>
  <c r="K70" i="1"/>
  <c r="K69" i="1"/>
  <c r="K68" i="1"/>
  <c r="K67" i="1"/>
  <c r="K66" i="1"/>
  <c r="I291" i="3" l="1"/>
  <c r="K89" i="1"/>
  <c r="H93" i="3" s="1"/>
  <c r="H239" i="8" s="1"/>
  <c r="H76" i="3"/>
  <c r="H223" i="8" s="1"/>
  <c r="K83" i="1"/>
  <c r="H87" i="3" s="1"/>
  <c r="H233" i="8" s="1"/>
  <c r="I233" i="8" s="1"/>
  <c r="H70" i="3"/>
  <c r="H217" i="8" s="1"/>
  <c r="K87" i="1"/>
  <c r="H91" i="3" s="1"/>
  <c r="H237" i="8" s="1"/>
  <c r="H74" i="3"/>
  <c r="H221" i="8" s="1"/>
  <c r="K91" i="1"/>
  <c r="H95" i="3" s="1"/>
  <c r="H241" i="8" s="1"/>
  <c r="H78" i="3"/>
  <c r="H225" i="8" s="1"/>
  <c r="K95" i="1"/>
  <c r="H99" i="3" s="1"/>
  <c r="H245" i="8" s="1"/>
  <c r="I245" i="8" s="1"/>
  <c r="H82" i="3"/>
  <c r="Q93" i="1"/>
  <c r="H139" i="3" s="1"/>
  <c r="H112" i="3"/>
  <c r="H249" i="8" s="1"/>
  <c r="Q99" i="1"/>
  <c r="H145" i="3" s="1"/>
  <c r="H280" i="8" s="1"/>
  <c r="H118" i="3"/>
  <c r="H255" i="8" s="1"/>
  <c r="Q103" i="1"/>
  <c r="H149" i="3" s="1"/>
  <c r="H284" i="8" s="1"/>
  <c r="H122" i="3"/>
  <c r="H259" i="8" s="1"/>
  <c r="Q111" i="1"/>
  <c r="H157" i="3" s="1"/>
  <c r="H292" i="8" s="1"/>
  <c r="H130" i="3"/>
  <c r="H267" i="8" s="1"/>
  <c r="Q115" i="1"/>
  <c r="H161" i="3" s="1"/>
  <c r="H296" i="8" s="1"/>
  <c r="H134" i="3"/>
  <c r="Q98" i="1"/>
  <c r="H144" i="3" s="1"/>
  <c r="H117" i="3"/>
  <c r="K93" i="1"/>
  <c r="H97" i="3" s="1"/>
  <c r="H243" i="8" s="1"/>
  <c r="I243" i="8" s="1"/>
  <c r="H80" i="3"/>
  <c r="H227" i="8" s="1"/>
  <c r="I227" i="8" s="1"/>
  <c r="K86" i="1"/>
  <c r="H90" i="3" s="1"/>
  <c r="I90" i="3" s="1"/>
  <c r="H73" i="3"/>
  <c r="H220" i="8" s="1"/>
  <c r="I220" i="8" s="1"/>
  <c r="K90" i="1"/>
  <c r="H94" i="3" s="1"/>
  <c r="H240" i="8" s="1"/>
  <c r="H77" i="3"/>
  <c r="H224" i="8" s="1"/>
  <c r="K94" i="1"/>
  <c r="H98" i="3" s="1"/>
  <c r="H244" i="8" s="1"/>
  <c r="I244" i="8" s="1"/>
  <c r="H81" i="3"/>
  <c r="H228" i="8" s="1"/>
  <c r="I228" i="8" s="1"/>
  <c r="K98" i="1"/>
  <c r="H102" i="3" s="1"/>
  <c r="H248" i="8" s="1"/>
  <c r="H85" i="3"/>
  <c r="H232" i="8" s="1"/>
  <c r="Q97" i="1"/>
  <c r="H143" i="3" s="1"/>
  <c r="H278" i="8" s="1"/>
  <c r="H116" i="3"/>
  <c r="H253" i="8" s="1"/>
  <c r="Q106" i="1"/>
  <c r="H152" i="3" s="1"/>
  <c r="H287" i="8" s="1"/>
  <c r="H125" i="3"/>
  <c r="H262" i="8" s="1"/>
  <c r="Q110" i="1"/>
  <c r="H156" i="3" s="1"/>
  <c r="H291" i="8" s="1"/>
  <c r="H129" i="3"/>
  <c r="H266" i="8" s="1"/>
  <c r="Q95" i="1"/>
  <c r="H141" i="3" s="1"/>
  <c r="H114" i="3"/>
  <c r="Q113" i="1"/>
  <c r="H159" i="3" s="1"/>
  <c r="H294" i="8" s="1"/>
  <c r="H132" i="3"/>
  <c r="H269" i="8" s="1"/>
  <c r="K85" i="1"/>
  <c r="H89" i="3" s="1"/>
  <c r="H235" i="8" s="1"/>
  <c r="I235" i="8" s="1"/>
  <c r="H72" i="3"/>
  <c r="H219" i="8" s="1"/>
  <c r="K97" i="1"/>
  <c r="H101" i="3" s="1"/>
  <c r="H247" i="8" s="1"/>
  <c r="I247" i="8" s="1"/>
  <c r="H84" i="3"/>
  <c r="H231" i="8" s="1"/>
  <c r="I231" i="8" s="1"/>
  <c r="Q96" i="1"/>
  <c r="H142" i="3" s="1"/>
  <c r="H277" i="8" s="1"/>
  <c r="H115" i="3"/>
  <c r="H252" i="8" s="1"/>
  <c r="Q101" i="1"/>
  <c r="H147" i="3" s="1"/>
  <c r="H282" i="8" s="1"/>
  <c r="H120" i="3"/>
  <c r="H257" i="8" s="1"/>
  <c r="K84" i="1"/>
  <c r="H88" i="3" s="1"/>
  <c r="H234" i="8" s="1"/>
  <c r="I234" i="8" s="1"/>
  <c r="H71" i="3"/>
  <c r="H218" i="8" s="1"/>
  <c r="K88" i="1"/>
  <c r="H92" i="3" s="1"/>
  <c r="H238" i="8" s="1"/>
  <c r="H75" i="3"/>
  <c r="H222" i="8" s="1"/>
  <c r="K92" i="1"/>
  <c r="H96" i="3" s="1"/>
  <c r="H242" i="8" s="1"/>
  <c r="I242" i="8" s="1"/>
  <c r="H79" i="3"/>
  <c r="H226" i="8" s="1"/>
  <c r="I226" i="8" s="1"/>
  <c r="K96" i="1"/>
  <c r="H100" i="3" s="1"/>
  <c r="H246" i="8" s="1"/>
  <c r="I246" i="8" s="1"/>
  <c r="H83" i="3"/>
  <c r="H230" i="8" s="1"/>
  <c r="I230" i="8" s="1"/>
  <c r="Q94" i="1"/>
  <c r="H140" i="3" s="1"/>
  <c r="H275" i="8" s="1"/>
  <c r="H113" i="3"/>
  <c r="H250" i="8" s="1"/>
  <c r="Q100" i="1"/>
  <c r="H146" i="3" s="1"/>
  <c r="H281" i="8" s="1"/>
  <c r="H119" i="3"/>
  <c r="H256" i="8" s="1"/>
  <c r="Q104" i="1"/>
  <c r="H150" i="3" s="1"/>
  <c r="H285" i="8" s="1"/>
  <c r="H123" i="3"/>
  <c r="H260" i="8" s="1"/>
  <c r="Q108" i="1"/>
  <c r="H154" i="3" s="1"/>
  <c r="H289" i="8" s="1"/>
  <c r="H127" i="3"/>
  <c r="H264" i="8" s="1"/>
  <c r="Q116" i="1"/>
  <c r="H162" i="3" s="1"/>
  <c r="H297" i="8" s="1"/>
  <c r="H135" i="3"/>
  <c r="I87" i="3"/>
  <c r="D434" i="3"/>
  <c r="D427" i="3"/>
  <c r="E427" i="3" s="1"/>
  <c r="F427" i="3" s="1"/>
  <c r="E488" i="3" s="1"/>
  <c r="D448" i="3"/>
  <c r="D441" i="3"/>
  <c r="E441" i="3" s="1"/>
  <c r="F441" i="3" s="1"/>
  <c r="E508" i="3" s="1"/>
  <c r="D420" i="3"/>
  <c r="D413" i="3"/>
  <c r="E105" i="1"/>
  <c r="H47" i="3" s="1"/>
  <c r="E109" i="1"/>
  <c r="H51" i="3" s="1"/>
  <c r="E112" i="1"/>
  <c r="H54" i="3" s="1"/>
  <c r="E117" i="1"/>
  <c r="H59" i="3" s="1"/>
  <c r="K100" i="1" l="1"/>
  <c r="L641" i="8"/>
  <c r="G641" i="8"/>
  <c r="H641" i="8"/>
  <c r="N641" i="8"/>
  <c r="I641" i="8"/>
  <c r="O641" i="8"/>
  <c r="J641" i="8"/>
  <c r="E641" i="8"/>
  <c r="P641" i="8"/>
  <c r="K641" i="8"/>
  <c r="F641" i="8"/>
  <c r="M641" i="8"/>
  <c r="P644" i="8"/>
  <c r="K644" i="8"/>
  <c r="F644" i="8"/>
  <c r="L644" i="8"/>
  <c r="G644" i="8"/>
  <c r="M644" i="8"/>
  <c r="H644" i="8"/>
  <c r="N644" i="8"/>
  <c r="I644" i="8"/>
  <c r="O644" i="8"/>
  <c r="J644" i="8"/>
  <c r="E644" i="8"/>
  <c r="I88" i="3"/>
  <c r="J87" i="3" s="1"/>
  <c r="D209" i="3" s="1"/>
  <c r="E209" i="3" s="1"/>
  <c r="F209" i="3" s="1"/>
  <c r="I96" i="3"/>
  <c r="J96" i="3" s="1"/>
  <c r="D213" i="3" s="1"/>
  <c r="E213" i="3" s="1"/>
  <c r="F213" i="3" s="1"/>
  <c r="D498" i="3" s="1"/>
  <c r="F498" i="3" s="1"/>
  <c r="D56" i="9" s="1"/>
  <c r="H56" i="9" s="1"/>
  <c r="I89" i="3"/>
  <c r="I97" i="3"/>
  <c r="J97" i="3" s="1"/>
  <c r="D214" i="3" s="1"/>
  <c r="E214" i="3" s="1"/>
  <c r="F214" i="3" s="1"/>
  <c r="D499" i="3" s="1"/>
  <c r="I99" i="3"/>
  <c r="H236" i="8"/>
  <c r="I236" i="8" s="1"/>
  <c r="I98" i="3"/>
  <c r="I101" i="3"/>
  <c r="H229" i="8"/>
  <c r="I229" i="8" s="1"/>
  <c r="I82" i="3"/>
  <c r="H274" i="8"/>
  <c r="H272" i="8"/>
  <c r="H271" i="8"/>
  <c r="I100" i="3"/>
  <c r="J100" i="3" s="1"/>
  <c r="D216" i="3" s="1"/>
  <c r="E216" i="3" s="1"/>
  <c r="F216" i="3" s="1"/>
  <c r="D501" i="3" s="1"/>
  <c r="E420" i="3"/>
  <c r="F420" i="3" s="1"/>
  <c r="E478" i="3" s="1"/>
  <c r="E434" i="3"/>
  <c r="F434" i="3"/>
  <c r="E498" i="3" s="1"/>
  <c r="E448" i="3"/>
  <c r="F448" i="3" s="1"/>
  <c r="E518" i="3" s="1"/>
  <c r="E89" i="1"/>
  <c r="E88" i="1"/>
  <c r="E86" i="1"/>
  <c r="E84" i="1"/>
  <c r="E83" i="1"/>
  <c r="E81" i="1"/>
  <c r="E79" i="1"/>
  <c r="E77" i="1"/>
  <c r="E76" i="1"/>
  <c r="E74" i="1"/>
  <c r="E72" i="1"/>
  <c r="E73" i="1"/>
  <c r="E71" i="1"/>
  <c r="E70" i="1"/>
  <c r="E69" i="1"/>
  <c r="E68" i="1"/>
  <c r="E67" i="1"/>
  <c r="E66" i="1"/>
  <c r="Q9" i="1"/>
  <c r="L10" i="1"/>
  <c r="L11" i="1"/>
  <c r="L12" i="1"/>
  <c r="N261" i="9" l="1"/>
  <c r="O261" i="9" s="1"/>
  <c r="E165" i="9"/>
  <c r="F165" i="9" s="1"/>
  <c r="D494" i="3"/>
  <c r="J98" i="3"/>
  <c r="D215" i="3" s="1"/>
  <c r="E215" i="3" s="1"/>
  <c r="F215" i="3" s="1"/>
  <c r="D500" i="3" s="1"/>
  <c r="E100" i="1"/>
  <c r="G11" i="6" s="1"/>
  <c r="H15" i="3"/>
  <c r="H174" i="8" s="1"/>
  <c r="E98" i="1"/>
  <c r="H40" i="3" s="1"/>
  <c r="H13" i="3"/>
  <c r="E110" i="1"/>
  <c r="H52" i="3" s="1"/>
  <c r="I52" i="3" s="1"/>
  <c r="H25" i="3"/>
  <c r="H184" i="8" s="1"/>
  <c r="I184" i="8" s="1"/>
  <c r="E116" i="1"/>
  <c r="H58" i="3" s="1"/>
  <c r="H31" i="3"/>
  <c r="E104" i="1"/>
  <c r="H46" i="3" s="1"/>
  <c r="H19" i="3"/>
  <c r="H178" i="8" s="1"/>
  <c r="E103" i="1"/>
  <c r="H45" i="3" s="1"/>
  <c r="H18" i="3"/>
  <c r="H177" i="8" s="1"/>
  <c r="E93" i="1"/>
  <c r="H35" i="3" s="1"/>
  <c r="H8" i="3"/>
  <c r="H167" i="8" s="1"/>
  <c r="E97" i="1"/>
  <c r="H39" i="3" s="1"/>
  <c r="H196" i="8" s="1"/>
  <c r="H12" i="3"/>
  <c r="H171" i="8" s="1"/>
  <c r="E101" i="1"/>
  <c r="H43" i="3" s="1"/>
  <c r="H16" i="3"/>
  <c r="H175" i="8" s="1"/>
  <c r="E108" i="1"/>
  <c r="H50" i="3" s="1"/>
  <c r="H207" i="8" s="1"/>
  <c r="H23" i="3"/>
  <c r="H182" i="8" s="1"/>
  <c r="I182" i="8" s="1"/>
  <c r="E115" i="1"/>
  <c r="H57" i="3" s="1"/>
  <c r="I57" i="3" s="1"/>
  <c r="H30" i="3"/>
  <c r="E95" i="1"/>
  <c r="H37" i="3" s="1"/>
  <c r="H10" i="3"/>
  <c r="E111" i="1"/>
  <c r="H53" i="3" s="1"/>
  <c r="I53" i="3" s="1"/>
  <c r="H26" i="3"/>
  <c r="H185" i="8" s="1"/>
  <c r="E94" i="1"/>
  <c r="H36" i="3" s="1"/>
  <c r="H193" i="8" s="1"/>
  <c r="H9" i="3"/>
  <c r="H168" i="8" s="1"/>
  <c r="E96" i="1"/>
  <c r="H38" i="3" s="1"/>
  <c r="H195" i="8" s="1"/>
  <c r="H11" i="3"/>
  <c r="H170" i="8" s="1"/>
  <c r="E99" i="1"/>
  <c r="H41" i="3" s="1"/>
  <c r="H14" i="3"/>
  <c r="H173" i="8" s="1"/>
  <c r="E106" i="1"/>
  <c r="H48" i="3" s="1"/>
  <c r="H205" i="8" s="1"/>
  <c r="H21" i="3"/>
  <c r="H180" i="8" s="1"/>
  <c r="E113" i="1"/>
  <c r="H55" i="3" s="1"/>
  <c r="I55" i="3" s="1"/>
  <c r="H28" i="3"/>
  <c r="H187" i="8" s="1"/>
  <c r="I139" i="1"/>
  <c r="I142" i="1"/>
  <c r="K11" i="1"/>
  <c r="K12" i="1"/>
  <c r="M12" i="1" s="1"/>
  <c r="H42" i="3" l="1"/>
  <c r="G10" i="6"/>
  <c r="H209" i="8"/>
  <c r="H214" i="8"/>
  <c r="I38" i="3"/>
  <c r="H215" i="8"/>
  <c r="I50" i="3"/>
  <c r="I39" i="3"/>
  <c r="H212" i="8"/>
  <c r="I212" i="8" s="1"/>
  <c r="I36" i="3"/>
  <c r="H210" i="8"/>
  <c r="I210" i="8" s="1"/>
  <c r="I48" i="3"/>
  <c r="H192" i="8"/>
  <c r="I35" i="3"/>
  <c r="H203" i="8"/>
  <c r="H189" i="8"/>
  <c r="I30" i="3"/>
  <c r="H202" i="8"/>
  <c r="H198" i="8"/>
  <c r="H190" i="8"/>
  <c r="H199" i="8"/>
  <c r="H200" i="8"/>
  <c r="M11" i="1"/>
  <c r="K10" i="1" l="1"/>
  <c r="M10" i="1" s="1"/>
  <c r="K9" i="1"/>
  <c r="D11" i="1"/>
  <c r="D16" i="1"/>
  <c r="D18" i="1"/>
  <c r="D17" i="1"/>
  <c r="F12" i="1"/>
  <c r="F15" i="1"/>
  <c r="Q92" i="1" l="1"/>
  <c r="E92" i="1"/>
  <c r="D65" i="10"/>
  <c r="I65" i="10" s="1"/>
  <c r="D25" i="10"/>
  <c r="D45" i="10"/>
  <c r="I45" i="10" s="1"/>
  <c r="D35" i="10"/>
  <c r="I35" i="10" s="1"/>
  <c r="D55" i="10"/>
  <c r="I55" i="10" s="1"/>
  <c r="D15" i="10"/>
  <c r="D42" i="10"/>
  <c r="I42" i="10" s="1"/>
  <c r="D22" i="10"/>
  <c r="D62" i="10"/>
  <c r="I62" i="10" s="1"/>
  <c r="D52" i="10"/>
  <c r="I52" i="10" s="1"/>
  <c r="D12" i="10"/>
  <c r="D32" i="10"/>
  <c r="D55" i="8"/>
  <c r="D15" i="8"/>
  <c r="D65" i="8"/>
  <c r="D25" i="8"/>
  <c r="D35" i="8"/>
  <c r="D45" i="8"/>
  <c r="Q80" i="1"/>
  <c r="D40" i="8"/>
  <c r="D50" i="8"/>
  <c r="D60" i="8"/>
  <c r="D20" i="8"/>
  <c r="D70" i="8"/>
  <c r="D30" i="8"/>
  <c r="E75" i="1"/>
  <c r="H17" i="3" s="1"/>
  <c r="D33" i="8"/>
  <c r="D43" i="8"/>
  <c r="D53" i="8"/>
  <c r="D13" i="8"/>
  <c r="D63" i="8"/>
  <c r="D23" i="8"/>
  <c r="Q75" i="1"/>
  <c r="G13" i="6"/>
  <c r="G12" i="6"/>
  <c r="E87" i="1"/>
  <c r="D68" i="8"/>
  <c r="D28" i="8"/>
  <c r="D38" i="8"/>
  <c r="D48" i="8"/>
  <c r="D58" i="8"/>
  <c r="D18" i="8"/>
  <c r="Q87" i="1"/>
  <c r="E102" i="1"/>
  <c r="H44" i="3" s="1"/>
  <c r="F16" i="1"/>
  <c r="E80" i="1"/>
  <c r="I138" i="1"/>
  <c r="AJ171" i="20"/>
  <c r="AJ172" i="20"/>
  <c r="AJ173" i="20"/>
  <c r="AJ174" i="20"/>
  <c r="AJ175" i="20"/>
  <c r="AJ176" i="20"/>
  <c r="AJ177" i="20"/>
  <c r="AJ134" i="20"/>
  <c r="AJ127" i="20"/>
  <c r="AJ128" i="20"/>
  <c r="AJ129" i="20"/>
  <c r="AJ130" i="20"/>
  <c r="AJ131" i="20"/>
  <c r="AJ132" i="20"/>
  <c r="AJ133" i="20"/>
  <c r="AJ119" i="20"/>
  <c r="AL119" i="20" s="1"/>
  <c r="AJ120" i="20"/>
  <c r="AL120" i="20" s="1"/>
  <c r="AJ121" i="20"/>
  <c r="AL121" i="20" s="1"/>
  <c r="AJ122" i="20"/>
  <c r="AL122" i="20" s="1"/>
  <c r="AJ123" i="20"/>
  <c r="AL123" i="20" s="1"/>
  <c r="AJ124" i="20"/>
  <c r="AL124" i="20" s="1"/>
  <c r="AJ125" i="20"/>
  <c r="AJ118" i="20"/>
  <c r="AL118" i="20" s="1"/>
  <c r="X127" i="20"/>
  <c r="D66" i="10" l="1"/>
  <c r="I66" i="10" s="1"/>
  <c r="D26" i="10"/>
  <c r="D46" i="10"/>
  <c r="I46" i="10" s="1"/>
  <c r="D56" i="10"/>
  <c r="I56" i="10" s="1"/>
  <c r="D16" i="10"/>
  <c r="D36" i="10"/>
  <c r="I36" i="10" s="1"/>
  <c r="E119" i="1"/>
  <c r="H34" i="3"/>
  <c r="H61" i="3"/>
  <c r="X137" i="20"/>
  <c r="X147" i="20"/>
  <c r="X167" i="20"/>
  <c r="H138" i="3"/>
  <c r="Q119" i="1"/>
  <c r="H165" i="3" s="1"/>
  <c r="Z153" i="20"/>
  <c r="Z173" i="20"/>
  <c r="X153" i="20"/>
  <c r="AB133" i="20"/>
  <c r="AL133" i="20" s="1"/>
  <c r="X173" i="20"/>
  <c r="X152" i="20"/>
  <c r="AB152" i="20" s="1"/>
  <c r="AL152" i="20" s="1"/>
  <c r="AB132" i="20"/>
  <c r="AL132" i="20" s="1"/>
  <c r="X172" i="20"/>
  <c r="AB172" i="20" s="1"/>
  <c r="AL172" i="20" s="1"/>
  <c r="AB131" i="20"/>
  <c r="AL131" i="20" s="1"/>
  <c r="Z151" i="20"/>
  <c r="AB151" i="20" s="1"/>
  <c r="AL151" i="20" s="1"/>
  <c r="Z171" i="20"/>
  <c r="AB171" i="20" s="1"/>
  <c r="AL171" i="20" s="1"/>
  <c r="Z150" i="20"/>
  <c r="Z170" i="20"/>
  <c r="X150" i="20"/>
  <c r="AB150" i="20" s="1"/>
  <c r="AL150" i="20" s="1"/>
  <c r="X170" i="20"/>
  <c r="AB170" i="20" s="1"/>
  <c r="AL170" i="20" s="1"/>
  <c r="AB130" i="20"/>
  <c r="AL130" i="20" s="1"/>
  <c r="Z149" i="20"/>
  <c r="Z169" i="20"/>
  <c r="X149" i="20"/>
  <c r="AB129" i="20"/>
  <c r="AL129" i="20" s="1"/>
  <c r="X169" i="20"/>
  <c r="Z168" i="20"/>
  <c r="Z148" i="20"/>
  <c r="AB128" i="20"/>
  <c r="AL128" i="20" s="1"/>
  <c r="X148" i="20"/>
  <c r="AB148" i="20" s="1"/>
  <c r="AL148" i="20" s="1"/>
  <c r="X168" i="20"/>
  <c r="AB168" i="20" s="1"/>
  <c r="AL168" i="20" s="1"/>
  <c r="Z147" i="20"/>
  <c r="AB127" i="20"/>
  <c r="AL127" i="20" s="1"/>
  <c r="Z167" i="20"/>
  <c r="Z146" i="20"/>
  <c r="Z166" i="20"/>
  <c r="AB126" i="20"/>
  <c r="AL126" i="20" s="1"/>
  <c r="X166" i="20"/>
  <c r="AB166" i="20" s="1"/>
  <c r="AL166" i="20" s="1"/>
  <c r="X146" i="20"/>
  <c r="AB146" i="20" s="1"/>
  <c r="AL146" i="20" s="1"/>
  <c r="O136" i="20"/>
  <c r="O166" i="20"/>
  <c r="P166" i="20" s="1"/>
  <c r="O146" i="20"/>
  <c r="P146" i="20" s="1"/>
  <c r="P126" i="20"/>
  <c r="R126" i="20" s="1"/>
  <c r="E107" i="1"/>
  <c r="H49" i="3" s="1"/>
  <c r="H22" i="3"/>
  <c r="D71" i="8"/>
  <c r="E11" i="8" s="1"/>
  <c r="H121" i="3"/>
  <c r="Q102" i="1"/>
  <c r="H148" i="3" s="1"/>
  <c r="H133" i="3"/>
  <c r="Q114" i="1"/>
  <c r="H160" i="3" s="1"/>
  <c r="H126" i="3"/>
  <c r="H263" i="8" s="1"/>
  <c r="Q107" i="1"/>
  <c r="H153" i="3" s="1"/>
  <c r="E114" i="1"/>
  <c r="H56" i="3" s="1"/>
  <c r="H29" i="3"/>
  <c r="AL125" i="20"/>
  <c r="AN125" i="20" s="1"/>
  <c r="P129" i="20"/>
  <c r="R129" i="20" s="1"/>
  <c r="P130" i="20"/>
  <c r="R130" i="20" s="1"/>
  <c r="P131" i="20"/>
  <c r="R131" i="20" s="1"/>
  <c r="P132" i="20"/>
  <c r="R132" i="20" s="1"/>
  <c r="P133" i="20"/>
  <c r="R133" i="20" s="1"/>
  <c r="AL175" i="20"/>
  <c r="AL176" i="20"/>
  <c r="P172" i="20"/>
  <c r="P173" i="20"/>
  <c r="P174" i="20"/>
  <c r="P175" i="20"/>
  <c r="AB173" i="20" l="1"/>
  <c r="AL173" i="20" s="1"/>
  <c r="AB137" i="20"/>
  <c r="AL137" i="20" s="1"/>
  <c r="X177" i="20"/>
  <c r="AB177" i="20" s="1"/>
  <c r="AL177" i="20" s="1"/>
  <c r="AN177" i="20" s="1"/>
  <c r="X157" i="20"/>
  <c r="AB157" i="20" s="1"/>
  <c r="AL157" i="20" s="1"/>
  <c r="AB167" i="20"/>
  <c r="AL167" i="20" s="1"/>
  <c r="AB147" i="20"/>
  <c r="AL147" i="20" s="1"/>
  <c r="AB149" i="20"/>
  <c r="AL149" i="20" s="1"/>
  <c r="AB153" i="20"/>
  <c r="AL153" i="20" s="1"/>
  <c r="AB169" i="20"/>
  <c r="AL169" i="20" s="1"/>
  <c r="Z154" i="20"/>
  <c r="Z174" i="20"/>
  <c r="AB134" i="20"/>
  <c r="AL134" i="20" s="1"/>
  <c r="X174" i="20"/>
  <c r="X154" i="20"/>
  <c r="AB154" i="20" s="1"/>
  <c r="AL154" i="20" s="1"/>
  <c r="O137" i="20"/>
  <c r="O147" i="20"/>
  <c r="P147" i="20" s="1"/>
  <c r="P127" i="20"/>
  <c r="R127" i="20" s="1"/>
  <c r="O167" i="20"/>
  <c r="P167" i="20" s="1"/>
  <c r="P136" i="20"/>
  <c r="R136" i="20" s="1"/>
  <c r="AN136" i="20" s="1"/>
  <c r="O156" i="20"/>
  <c r="P156" i="20" s="1"/>
  <c r="O176" i="20"/>
  <c r="P176" i="20" s="1"/>
  <c r="AN133" i="20"/>
  <c r="Q120" i="1"/>
  <c r="L116" i="8"/>
  <c r="P57" i="11" s="1"/>
  <c r="L120" i="8"/>
  <c r="P61" i="11" s="1"/>
  <c r="L124" i="8"/>
  <c r="P65" i="11" s="1"/>
  <c r="L128" i="8"/>
  <c r="P69" i="11" s="1"/>
  <c r="L132" i="8"/>
  <c r="P73" i="11" s="1"/>
  <c r="L136" i="8"/>
  <c r="P77" i="11" s="1"/>
  <c r="L140" i="8"/>
  <c r="P81" i="11" s="1"/>
  <c r="L144" i="8"/>
  <c r="P85" i="11" s="1"/>
  <c r="L148" i="8"/>
  <c r="P89" i="11" s="1"/>
  <c r="L152" i="8"/>
  <c r="P93" i="11" s="1"/>
  <c r="L106" i="8"/>
  <c r="P47" i="11" s="1"/>
  <c r="L110" i="8"/>
  <c r="P51" i="11" s="1"/>
  <c r="L95" i="8"/>
  <c r="P36" i="11" s="1"/>
  <c r="L99" i="8"/>
  <c r="P40" i="11" s="1"/>
  <c r="L113" i="8"/>
  <c r="P54" i="11" s="1"/>
  <c r="L117" i="8"/>
  <c r="P58" i="11" s="1"/>
  <c r="L121" i="8"/>
  <c r="P62" i="11" s="1"/>
  <c r="L125" i="8"/>
  <c r="P66" i="11" s="1"/>
  <c r="L129" i="8"/>
  <c r="P70" i="11" s="1"/>
  <c r="L133" i="8"/>
  <c r="P74" i="11" s="1"/>
  <c r="L137" i="8"/>
  <c r="P78" i="11" s="1"/>
  <c r="L141" i="8"/>
  <c r="P82" i="11" s="1"/>
  <c r="L145" i="8"/>
  <c r="P86" i="11" s="1"/>
  <c r="L149" i="8"/>
  <c r="P90" i="11" s="1"/>
  <c r="L103" i="8"/>
  <c r="P44" i="11" s="1"/>
  <c r="L107" i="8"/>
  <c r="P48" i="11" s="1"/>
  <c r="L111" i="8"/>
  <c r="P52" i="11" s="1"/>
  <c r="L96" i="8"/>
  <c r="P37" i="11" s="1"/>
  <c r="L100" i="8"/>
  <c r="P41" i="11" s="1"/>
  <c r="L114" i="8"/>
  <c r="P55" i="11" s="1"/>
  <c r="L118" i="8"/>
  <c r="P59" i="11" s="1"/>
  <c r="L122" i="8"/>
  <c r="P63" i="11" s="1"/>
  <c r="L126" i="8"/>
  <c r="P67" i="11" s="1"/>
  <c r="L130" i="8"/>
  <c r="P71" i="11" s="1"/>
  <c r="L134" i="8"/>
  <c r="P75" i="11" s="1"/>
  <c r="L138" i="8"/>
  <c r="P79" i="11" s="1"/>
  <c r="L142" i="8"/>
  <c r="P83" i="11" s="1"/>
  <c r="L146" i="8"/>
  <c r="P87" i="11" s="1"/>
  <c r="L150" i="8"/>
  <c r="P91" i="11" s="1"/>
  <c r="L104" i="8"/>
  <c r="P45" i="11" s="1"/>
  <c r="L108" i="8"/>
  <c r="P49" i="11" s="1"/>
  <c r="L112" i="8"/>
  <c r="P53" i="11" s="1"/>
  <c r="L97" i="8"/>
  <c r="P38" i="11" s="1"/>
  <c r="L101" i="8"/>
  <c r="P42" i="11" s="1"/>
  <c r="L115" i="8"/>
  <c r="P56" i="11" s="1"/>
  <c r="L119" i="8"/>
  <c r="P60" i="11" s="1"/>
  <c r="L123" i="8"/>
  <c r="P64" i="11" s="1"/>
  <c r="L127" i="8"/>
  <c r="P68" i="11" s="1"/>
  <c r="L131" i="8"/>
  <c r="P72" i="11" s="1"/>
  <c r="L135" i="8"/>
  <c r="P76" i="11" s="1"/>
  <c r="L139" i="8"/>
  <c r="P80" i="11" s="1"/>
  <c r="L143" i="8"/>
  <c r="P84" i="11" s="1"/>
  <c r="L147" i="8"/>
  <c r="P88" i="11" s="1"/>
  <c r="L151" i="8"/>
  <c r="P92" i="11" s="1"/>
  <c r="L105" i="8"/>
  <c r="P46" i="11" s="1"/>
  <c r="L109" i="8"/>
  <c r="P50" i="11" s="1"/>
  <c r="L94" i="8"/>
  <c r="P35" i="11" s="1"/>
  <c r="L98" i="8"/>
  <c r="P39" i="11" s="1"/>
  <c r="L102" i="8"/>
  <c r="P43" i="11" s="1"/>
  <c r="O115" i="8"/>
  <c r="P122" i="11" s="1"/>
  <c r="O119" i="8"/>
  <c r="P126" i="11" s="1"/>
  <c r="O123" i="8"/>
  <c r="P130" i="11" s="1"/>
  <c r="O127" i="8"/>
  <c r="P134" i="11" s="1"/>
  <c r="O131" i="8"/>
  <c r="P138" i="11" s="1"/>
  <c r="O135" i="8"/>
  <c r="P142" i="11" s="1"/>
  <c r="O139" i="8"/>
  <c r="P146" i="11" s="1"/>
  <c r="O143" i="8"/>
  <c r="P150" i="11" s="1"/>
  <c r="O147" i="8"/>
  <c r="P154" i="11" s="1"/>
  <c r="O151" i="8"/>
  <c r="P158" i="11" s="1"/>
  <c r="O105" i="8"/>
  <c r="P112" i="11" s="1"/>
  <c r="O109" i="8"/>
  <c r="P116" i="11" s="1"/>
  <c r="O94" i="8"/>
  <c r="P101" i="11" s="1"/>
  <c r="O98" i="8"/>
  <c r="P105" i="11" s="1"/>
  <c r="O102" i="8"/>
  <c r="P109" i="11" s="1"/>
  <c r="O116" i="8"/>
  <c r="P123" i="11" s="1"/>
  <c r="O120" i="8"/>
  <c r="P127" i="11" s="1"/>
  <c r="O124" i="8"/>
  <c r="P131" i="11" s="1"/>
  <c r="O128" i="8"/>
  <c r="P135" i="11" s="1"/>
  <c r="O132" i="8"/>
  <c r="P139" i="11" s="1"/>
  <c r="O136" i="8"/>
  <c r="P143" i="11" s="1"/>
  <c r="O140" i="8"/>
  <c r="P147" i="11" s="1"/>
  <c r="O144" i="8"/>
  <c r="P151" i="11" s="1"/>
  <c r="O148" i="8"/>
  <c r="P155" i="11" s="1"/>
  <c r="O152" i="8"/>
  <c r="P159" i="11" s="1"/>
  <c r="O106" i="8"/>
  <c r="P113" i="11" s="1"/>
  <c r="O110" i="8"/>
  <c r="P117" i="11" s="1"/>
  <c r="O95" i="8"/>
  <c r="P102" i="11" s="1"/>
  <c r="O99" i="8"/>
  <c r="P106" i="11" s="1"/>
  <c r="O113" i="8"/>
  <c r="P120" i="11" s="1"/>
  <c r="O117" i="8"/>
  <c r="P124" i="11" s="1"/>
  <c r="O121" i="8"/>
  <c r="P128" i="11" s="1"/>
  <c r="O125" i="8"/>
  <c r="P132" i="11" s="1"/>
  <c r="O129" i="8"/>
  <c r="P136" i="11" s="1"/>
  <c r="O133" i="8"/>
  <c r="P140" i="11" s="1"/>
  <c r="O137" i="8"/>
  <c r="P144" i="11" s="1"/>
  <c r="O141" i="8"/>
  <c r="P148" i="11" s="1"/>
  <c r="O145" i="8"/>
  <c r="P152" i="11" s="1"/>
  <c r="O149" i="8"/>
  <c r="P156" i="11" s="1"/>
  <c r="O103" i="8"/>
  <c r="P110" i="11" s="1"/>
  <c r="O107" i="8"/>
  <c r="P114" i="11" s="1"/>
  <c r="O111" i="8"/>
  <c r="P118" i="11" s="1"/>
  <c r="O96" i="8"/>
  <c r="P103" i="11" s="1"/>
  <c r="O100" i="8"/>
  <c r="P107" i="11" s="1"/>
  <c r="O114" i="8"/>
  <c r="P121" i="11" s="1"/>
  <c r="O118" i="8"/>
  <c r="P125" i="11" s="1"/>
  <c r="O122" i="8"/>
  <c r="P129" i="11" s="1"/>
  <c r="O126" i="8"/>
  <c r="P133" i="11" s="1"/>
  <c r="O130" i="8"/>
  <c r="P137" i="11" s="1"/>
  <c r="O134" i="8"/>
  <c r="P141" i="11" s="1"/>
  <c r="O138" i="8"/>
  <c r="P145" i="11" s="1"/>
  <c r="O142" i="8"/>
  <c r="P149" i="11" s="1"/>
  <c r="O146" i="8"/>
  <c r="P153" i="11" s="1"/>
  <c r="O150" i="8"/>
  <c r="P157" i="11" s="1"/>
  <c r="O104" i="8"/>
  <c r="P111" i="11" s="1"/>
  <c r="O108" i="8"/>
  <c r="P115" i="11" s="1"/>
  <c r="O112" i="8"/>
  <c r="P119" i="11" s="1"/>
  <c r="O97" i="8"/>
  <c r="P104" i="11" s="1"/>
  <c r="O101" i="8"/>
  <c r="P108" i="11" s="1"/>
  <c r="N114" i="8"/>
  <c r="K121" i="11" s="1"/>
  <c r="N118" i="8"/>
  <c r="K125" i="11" s="1"/>
  <c r="N122" i="8"/>
  <c r="K129" i="11" s="1"/>
  <c r="N126" i="8"/>
  <c r="K133" i="11" s="1"/>
  <c r="N130" i="8"/>
  <c r="K137" i="11" s="1"/>
  <c r="N134" i="8"/>
  <c r="K141" i="11" s="1"/>
  <c r="N138" i="8"/>
  <c r="K145" i="11" s="1"/>
  <c r="N142" i="8"/>
  <c r="K149" i="11" s="1"/>
  <c r="N146" i="8"/>
  <c r="K153" i="11" s="1"/>
  <c r="N150" i="8"/>
  <c r="K157" i="11" s="1"/>
  <c r="N104" i="8"/>
  <c r="K111" i="11" s="1"/>
  <c r="N108" i="8"/>
  <c r="K115" i="11" s="1"/>
  <c r="N112" i="8"/>
  <c r="K119" i="11" s="1"/>
  <c r="N97" i="8"/>
  <c r="K104" i="11" s="1"/>
  <c r="N101" i="8"/>
  <c r="K108" i="11" s="1"/>
  <c r="N115" i="8"/>
  <c r="K122" i="11" s="1"/>
  <c r="N119" i="8"/>
  <c r="K126" i="11" s="1"/>
  <c r="N123" i="8"/>
  <c r="K130" i="11" s="1"/>
  <c r="N127" i="8"/>
  <c r="K134" i="11" s="1"/>
  <c r="N131" i="8"/>
  <c r="K138" i="11" s="1"/>
  <c r="N135" i="8"/>
  <c r="K142" i="11" s="1"/>
  <c r="N139" i="8"/>
  <c r="K146" i="11" s="1"/>
  <c r="N143" i="8"/>
  <c r="K150" i="11" s="1"/>
  <c r="N147" i="8"/>
  <c r="K154" i="11" s="1"/>
  <c r="N151" i="8"/>
  <c r="K158" i="11" s="1"/>
  <c r="N105" i="8"/>
  <c r="K112" i="11" s="1"/>
  <c r="N109" i="8"/>
  <c r="K116" i="11" s="1"/>
  <c r="N94" i="8"/>
  <c r="K101" i="11" s="1"/>
  <c r="N98" i="8"/>
  <c r="K105" i="11" s="1"/>
  <c r="N102" i="8"/>
  <c r="K109" i="11" s="1"/>
  <c r="N116" i="8"/>
  <c r="K123" i="11" s="1"/>
  <c r="N120" i="8"/>
  <c r="K127" i="11" s="1"/>
  <c r="N124" i="8"/>
  <c r="K131" i="11" s="1"/>
  <c r="N128" i="8"/>
  <c r="K135" i="11" s="1"/>
  <c r="N132" i="8"/>
  <c r="K139" i="11" s="1"/>
  <c r="N136" i="8"/>
  <c r="K143" i="11" s="1"/>
  <c r="N140" i="8"/>
  <c r="K147" i="11" s="1"/>
  <c r="N144" i="8"/>
  <c r="K151" i="11" s="1"/>
  <c r="N148" i="8"/>
  <c r="K155" i="11" s="1"/>
  <c r="N152" i="8"/>
  <c r="K159" i="11" s="1"/>
  <c r="N106" i="8"/>
  <c r="K113" i="11" s="1"/>
  <c r="N110" i="8"/>
  <c r="K117" i="11" s="1"/>
  <c r="N95" i="8"/>
  <c r="K102" i="11" s="1"/>
  <c r="N99" i="8"/>
  <c r="K106" i="11" s="1"/>
  <c r="N113" i="8"/>
  <c r="K120" i="11" s="1"/>
  <c r="N117" i="8"/>
  <c r="K124" i="11" s="1"/>
  <c r="N121" i="8"/>
  <c r="K128" i="11" s="1"/>
  <c r="N125" i="8"/>
  <c r="K132" i="11" s="1"/>
  <c r="N129" i="8"/>
  <c r="K136" i="11" s="1"/>
  <c r="N133" i="8"/>
  <c r="K140" i="11" s="1"/>
  <c r="N137" i="8"/>
  <c r="K144" i="11" s="1"/>
  <c r="N141" i="8"/>
  <c r="K148" i="11" s="1"/>
  <c r="N145" i="8"/>
  <c r="K152" i="11" s="1"/>
  <c r="N149" i="8"/>
  <c r="K156" i="11" s="1"/>
  <c r="N103" i="8"/>
  <c r="K110" i="11" s="1"/>
  <c r="N107" i="8"/>
  <c r="K114" i="11" s="1"/>
  <c r="N111" i="8"/>
  <c r="K118" i="11" s="1"/>
  <c r="N96" i="8"/>
  <c r="K103" i="11" s="1"/>
  <c r="N100" i="8"/>
  <c r="K107" i="11" s="1"/>
  <c r="M113" i="8"/>
  <c r="F120" i="11" s="1"/>
  <c r="F29" i="20" s="1"/>
  <c r="M117" i="8"/>
  <c r="F124" i="11" s="1"/>
  <c r="F33" i="20" s="1"/>
  <c r="M121" i="8"/>
  <c r="F128" i="11" s="1"/>
  <c r="F37" i="20" s="1"/>
  <c r="M125" i="8"/>
  <c r="F132" i="11" s="1"/>
  <c r="F41" i="20" s="1"/>
  <c r="M129" i="8"/>
  <c r="F136" i="11" s="1"/>
  <c r="F45" i="20" s="1"/>
  <c r="M133" i="8"/>
  <c r="F140" i="11" s="1"/>
  <c r="F49" i="20" s="1"/>
  <c r="M137" i="8"/>
  <c r="F144" i="11" s="1"/>
  <c r="F53" i="20" s="1"/>
  <c r="M141" i="8"/>
  <c r="F148" i="11" s="1"/>
  <c r="F57" i="20" s="1"/>
  <c r="M145" i="8"/>
  <c r="F152" i="11" s="1"/>
  <c r="F61" i="20" s="1"/>
  <c r="M149" i="8"/>
  <c r="F156" i="11" s="1"/>
  <c r="F65" i="20" s="1"/>
  <c r="M103" i="8"/>
  <c r="F110" i="11" s="1"/>
  <c r="F19" i="20" s="1"/>
  <c r="M107" i="8"/>
  <c r="F114" i="11" s="1"/>
  <c r="F23" i="20" s="1"/>
  <c r="M111" i="8"/>
  <c r="F118" i="11" s="1"/>
  <c r="F27" i="20" s="1"/>
  <c r="M96" i="8"/>
  <c r="F103" i="11" s="1"/>
  <c r="F12" i="20" s="1"/>
  <c r="M100" i="8"/>
  <c r="F107" i="11" s="1"/>
  <c r="F16" i="20" s="1"/>
  <c r="M114" i="8"/>
  <c r="F121" i="11" s="1"/>
  <c r="F30" i="20" s="1"/>
  <c r="M118" i="8"/>
  <c r="F125" i="11" s="1"/>
  <c r="F34" i="20" s="1"/>
  <c r="M122" i="8"/>
  <c r="F129" i="11" s="1"/>
  <c r="F38" i="20" s="1"/>
  <c r="M126" i="8"/>
  <c r="F133" i="11" s="1"/>
  <c r="F42" i="20" s="1"/>
  <c r="M130" i="8"/>
  <c r="F137" i="11" s="1"/>
  <c r="F46" i="20" s="1"/>
  <c r="M134" i="8"/>
  <c r="F141" i="11" s="1"/>
  <c r="F50" i="20" s="1"/>
  <c r="M138" i="8"/>
  <c r="F145" i="11" s="1"/>
  <c r="F54" i="20" s="1"/>
  <c r="M142" i="8"/>
  <c r="F149" i="11" s="1"/>
  <c r="F58" i="20" s="1"/>
  <c r="M146" i="8"/>
  <c r="F153" i="11" s="1"/>
  <c r="F62" i="20" s="1"/>
  <c r="M150" i="8"/>
  <c r="F157" i="11" s="1"/>
  <c r="F66" i="20" s="1"/>
  <c r="M104" i="8"/>
  <c r="F111" i="11" s="1"/>
  <c r="F20" i="20" s="1"/>
  <c r="M108" i="8"/>
  <c r="F115" i="11" s="1"/>
  <c r="F24" i="20" s="1"/>
  <c r="M112" i="8"/>
  <c r="F119" i="11" s="1"/>
  <c r="F28" i="20" s="1"/>
  <c r="M97" i="8"/>
  <c r="F104" i="11" s="1"/>
  <c r="F13" i="20" s="1"/>
  <c r="M101" i="8"/>
  <c r="F108" i="11" s="1"/>
  <c r="F17" i="20" s="1"/>
  <c r="M115" i="8"/>
  <c r="F122" i="11" s="1"/>
  <c r="F31" i="20" s="1"/>
  <c r="M119" i="8"/>
  <c r="F126" i="11" s="1"/>
  <c r="F35" i="20" s="1"/>
  <c r="M123" i="8"/>
  <c r="F130" i="11" s="1"/>
  <c r="F39" i="20" s="1"/>
  <c r="M127" i="8"/>
  <c r="F134" i="11" s="1"/>
  <c r="F43" i="20" s="1"/>
  <c r="M131" i="8"/>
  <c r="F138" i="11" s="1"/>
  <c r="F47" i="20" s="1"/>
  <c r="M135" i="8"/>
  <c r="F142" i="11" s="1"/>
  <c r="F51" i="20" s="1"/>
  <c r="M139" i="8"/>
  <c r="F146" i="11" s="1"/>
  <c r="F55" i="20" s="1"/>
  <c r="M143" i="8"/>
  <c r="F150" i="11" s="1"/>
  <c r="F59" i="20" s="1"/>
  <c r="M147" i="8"/>
  <c r="F154" i="11" s="1"/>
  <c r="F63" i="20" s="1"/>
  <c r="M151" i="8"/>
  <c r="F158" i="11" s="1"/>
  <c r="F67" i="20" s="1"/>
  <c r="M105" i="8"/>
  <c r="F112" i="11" s="1"/>
  <c r="F21" i="20" s="1"/>
  <c r="M109" i="8"/>
  <c r="F116" i="11" s="1"/>
  <c r="F25" i="20" s="1"/>
  <c r="M94" i="8"/>
  <c r="F101" i="11" s="1"/>
  <c r="F10" i="20" s="1"/>
  <c r="M98" i="8"/>
  <c r="F105" i="11" s="1"/>
  <c r="F14" i="20" s="1"/>
  <c r="M102" i="8"/>
  <c r="F109" i="11" s="1"/>
  <c r="F18" i="20" s="1"/>
  <c r="M116" i="8"/>
  <c r="F123" i="11" s="1"/>
  <c r="F32" i="20" s="1"/>
  <c r="M120" i="8"/>
  <c r="F127" i="11" s="1"/>
  <c r="F36" i="20" s="1"/>
  <c r="M124" i="8"/>
  <c r="F131" i="11" s="1"/>
  <c r="F40" i="20" s="1"/>
  <c r="M128" i="8"/>
  <c r="F135" i="11" s="1"/>
  <c r="F44" i="20" s="1"/>
  <c r="M132" i="8"/>
  <c r="F139" i="11" s="1"/>
  <c r="F48" i="20" s="1"/>
  <c r="M136" i="8"/>
  <c r="F143" i="11" s="1"/>
  <c r="F52" i="20" s="1"/>
  <c r="M140" i="8"/>
  <c r="F147" i="11" s="1"/>
  <c r="F56" i="20" s="1"/>
  <c r="M144" i="8"/>
  <c r="F151" i="11" s="1"/>
  <c r="F60" i="20" s="1"/>
  <c r="M148" i="8"/>
  <c r="F155" i="11" s="1"/>
  <c r="F64" i="20" s="1"/>
  <c r="M152" i="8"/>
  <c r="F159" i="11" s="1"/>
  <c r="F68" i="20" s="1"/>
  <c r="M106" i="8"/>
  <c r="F113" i="11" s="1"/>
  <c r="F22" i="20" s="1"/>
  <c r="M110" i="8"/>
  <c r="F117" i="11" s="1"/>
  <c r="F26" i="20" s="1"/>
  <c r="M95" i="8"/>
  <c r="F102" i="11" s="1"/>
  <c r="F11" i="20" s="1"/>
  <c r="M99" i="8"/>
  <c r="F106" i="11" s="1"/>
  <c r="F15" i="20" s="1"/>
  <c r="E120" i="1"/>
  <c r="X98" i="20"/>
  <c r="AB174" i="20" l="1"/>
  <c r="AL174" i="20" s="1"/>
  <c r="O177" i="20"/>
  <c r="P177" i="20" s="1"/>
  <c r="P137" i="20"/>
  <c r="R137" i="20" s="1"/>
  <c r="AN137" i="20" s="1"/>
  <c r="O157" i="20"/>
  <c r="P157" i="20" s="1"/>
  <c r="P183" i="20"/>
  <c r="P182" i="20"/>
  <c r="G100" i="20"/>
  <c r="AA98" i="20"/>
  <c r="AA102" i="20" s="1"/>
  <c r="W105" i="20" s="1"/>
  <c r="W106" i="20" s="1"/>
  <c r="M8" i="20"/>
  <c r="G3" i="20"/>
  <c r="B263" i="20" l="1"/>
  <c r="R157" i="20"/>
  <c r="AN157" i="20" s="1"/>
  <c r="R167" i="20"/>
  <c r="AN167" i="20" s="1"/>
  <c r="R147" i="20"/>
  <c r="AN147" i="20" s="1"/>
  <c r="R165" i="20"/>
  <c r="AN165" i="20" s="1"/>
  <c r="R142" i="20"/>
  <c r="AN142" i="20" s="1"/>
  <c r="R150" i="20"/>
  <c r="AN150" i="20" s="1"/>
  <c r="R163" i="20"/>
  <c r="AN163" i="20" s="1"/>
  <c r="R144" i="20"/>
  <c r="AN144" i="20" s="1"/>
  <c r="R141" i="20"/>
  <c r="AN141" i="20" s="1"/>
  <c r="R149" i="20"/>
  <c r="AN149" i="20" s="1"/>
  <c r="R154" i="20"/>
  <c r="AN154" i="20" s="1"/>
  <c r="R139" i="20"/>
  <c r="AN139" i="20" s="1"/>
  <c r="R151" i="20"/>
  <c r="AN151" i="20" s="1"/>
  <c r="R160" i="20"/>
  <c r="AN160" i="20" s="1"/>
  <c r="R138" i="20"/>
  <c r="AN138" i="20" s="1"/>
  <c r="R145" i="20"/>
  <c r="AN145" i="20" s="1"/>
  <c r="R153" i="20"/>
  <c r="AN153" i="20" s="1"/>
  <c r="R148" i="20"/>
  <c r="AN148" i="20" s="1"/>
  <c r="R143" i="20"/>
  <c r="AN143" i="20" s="1"/>
  <c r="R155" i="20"/>
  <c r="AN155" i="20" s="1"/>
  <c r="R164" i="20"/>
  <c r="AN164" i="20" s="1"/>
  <c r="R152" i="20"/>
  <c r="AN152" i="20" s="1"/>
  <c r="R161" i="20"/>
  <c r="AN161" i="20" s="1"/>
  <c r="R162" i="20"/>
  <c r="AN162" i="20" s="1"/>
  <c r="R168" i="20"/>
  <c r="AN168" i="20" s="1"/>
  <c r="R159" i="20"/>
  <c r="AN159" i="20" s="1"/>
  <c r="R140" i="20"/>
  <c r="AN140" i="20" s="1"/>
  <c r="R170" i="20"/>
  <c r="AN170" i="20" s="1"/>
  <c r="R171" i="20"/>
  <c r="AN171" i="20" s="1"/>
  <c r="R169" i="20"/>
  <c r="AN169" i="20" s="1"/>
  <c r="F219" i="20" s="1"/>
  <c r="R158" i="20"/>
  <c r="AN158" i="20" s="1"/>
  <c r="R166" i="20"/>
  <c r="AN166" i="20" s="1"/>
  <c r="R146" i="20"/>
  <c r="AN146" i="20" s="1"/>
  <c r="R156" i="20"/>
  <c r="AN156" i="20" s="1"/>
  <c r="AN131" i="20"/>
  <c r="AN132" i="20"/>
  <c r="AN130" i="20"/>
  <c r="AN129" i="20"/>
  <c r="AN128" i="20"/>
  <c r="AN126" i="20"/>
  <c r="AN127" i="20"/>
  <c r="AN134" i="20"/>
  <c r="R175" i="20"/>
  <c r="AN175" i="20" s="1"/>
  <c r="R176" i="20"/>
  <c r="AN176" i="20" s="1"/>
  <c r="R174" i="20"/>
  <c r="AN174" i="20" s="1"/>
  <c r="R173" i="20"/>
  <c r="AN173" i="20" s="1"/>
  <c r="R172" i="20"/>
  <c r="AN172" i="20" s="1"/>
  <c r="AN124" i="20"/>
  <c r="AN121" i="20"/>
  <c r="R119" i="20"/>
  <c r="AN119" i="20" s="1"/>
  <c r="AN123" i="20"/>
  <c r="AN120" i="20"/>
  <c r="AN122" i="20"/>
  <c r="I755" i="8"/>
  <c r="AN118" i="20" l="1"/>
  <c r="AN179" i="20" s="1"/>
  <c r="A81" i="10"/>
  <c r="A130" i="9"/>
  <c r="A226" i="9" s="1"/>
  <c r="I219" i="20" l="1"/>
  <c r="D226" i="20" s="1"/>
  <c r="A20" i="11" l="1"/>
  <c r="A33" i="11" s="1"/>
  <c r="A99" i="11" s="1"/>
  <c r="A179" i="11" s="1"/>
  <c r="A176" i="11" s="1"/>
  <c r="M81" i="10"/>
  <c r="K81" i="10"/>
  <c r="I81" i="10"/>
  <c r="E121" i="9"/>
  <c r="E122" i="9"/>
  <c r="E123" i="9"/>
  <c r="E124" i="9"/>
  <c r="F11" i="6"/>
  <c r="G138" i="3" l="1"/>
  <c r="I138" i="3" s="1"/>
  <c r="G165" i="3"/>
  <c r="I165" i="3" s="1"/>
  <c r="G34" i="3"/>
  <c r="I34" i="3" s="1"/>
  <c r="G61" i="3"/>
  <c r="I61" i="3" s="1"/>
  <c r="G59" i="3"/>
  <c r="I59" i="3" s="1"/>
  <c r="G49" i="3"/>
  <c r="I49" i="3" s="1"/>
  <c r="J48" i="3" s="1"/>
  <c r="D193" i="3" s="1"/>
  <c r="E193" i="3" s="1"/>
  <c r="F193" i="3" s="1"/>
  <c r="D478" i="3" s="1"/>
  <c r="F478" i="3" s="1"/>
  <c r="D36" i="9" s="1"/>
  <c r="H36" i="9" s="1"/>
  <c r="G37" i="3"/>
  <c r="I37" i="3" s="1"/>
  <c r="J35" i="3" s="1"/>
  <c r="D189" i="3" s="1"/>
  <c r="E189" i="3" s="1"/>
  <c r="F189" i="3" s="1"/>
  <c r="G24" i="3"/>
  <c r="G51" i="3"/>
  <c r="I51" i="3" s="1"/>
  <c r="J50" i="3" s="1"/>
  <c r="D194" i="3" s="1"/>
  <c r="E194" i="3" s="1"/>
  <c r="F194" i="3" s="1"/>
  <c r="D479" i="3" s="1"/>
  <c r="G44" i="3"/>
  <c r="I44" i="3" s="1"/>
  <c r="G27" i="3"/>
  <c r="G13" i="3"/>
  <c r="G54" i="3"/>
  <c r="I54" i="3" s="1"/>
  <c r="J52" i="3" s="1"/>
  <c r="D195" i="3" s="1"/>
  <c r="E195" i="3" s="1"/>
  <c r="F195" i="3" s="1"/>
  <c r="D480" i="3" s="1"/>
  <c r="G40" i="3"/>
  <c r="I40" i="3" s="1"/>
  <c r="G29" i="3"/>
  <c r="G17" i="3"/>
  <c r="G20" i="3"/>
  <c r="G56" i="3"/>
  <c r="I56" i="3" s="1"/>
  <c r="J55" i="3" s="1"/>
  <c r="D196" i="3" s="1"/>
  <c r="E196" i="3" s="1"/>
  <c r="F196" i="3" s="1"/>
  <c r="D481" i="3" s="1"/>
  <c r="G47" i="3"/>
  <c r="I47" i="3" s="1"/>
  <c r="G32" i="3"/>
  <c r="I32" i="3" s="1"/>
  <c r="G22" i="3"/>
  <c r="G146" i="3"/>
  <c r="G15" i="3"/>
  <c r="G174" i="8" s="1"/>
  <c r="G42" i="3"/>
  <c r="G75" i="3"/>
  <c r="G222" i="8" s="1"/>
  <c r="G92" i="3"/>
  <c r="G119" i="3"/>
  <c r="G256" i="8" s="1"/>
  <c r="I256" i="8" s="1"/>
  <c r="K115" i="8"/>
  <c r="K56" i="11" s="1"/>
  <c r="K131" i="8"/>
  <c r="K72" i="11" s="1"/>
  <c r="K147" i="8"/>
  <c r="K88" i="11" s="1"/>
  <c r="K94" i="8"/>
  <c r="K35" i="11" s="1"/>
  <c r="K120" i="8"/>
  <c r="K61" i="11" s="1"/>
  <c r="K136" i="8"/>
  <c r="K77" i="11" s="1"/>
  <c r="K152" i="8"/>
  <c r="K93" i="11" s="1"/>
  <c r="K99" i="8"/>
  <c r="K40" i="11" s="1"/>
  <c r="K125" i="8"/>
  <c r="K66" i="11" s="1"/>
  <c r="K141" i="8"/>
  <c r="K82" i="11" s="1"/>
  <c r="K107" i="8"/>
  <c r="K48" i="11" s="1"/>
  <c r="K114" i="8"/>
  <c r="K55" i="11" s="1"/>
  <c r="K130" i="8"/>
  <c r="K71" i="11" s="1"/>
  <c r="K146" i="8"/>
  <c r="K87" i="11" s="1"/>
  <c r="K112" i="8"/>
  <c r="K53" i="11" s="1"/>
  <c r="K119" i="8"/>
  <c r="K60" i="11" s="1"/>
  <c r="K135" i="8"/>
  <c r="K76" i="11" s="1"/>
  <c r="K151" i="8"/>
  <c r="K92" i="11" s="1"/>
  <c r="K98" i="8"/>
  <c r="K39" i="11" s="1"/>
  <c r="K124" i="8"/>
  <c r="K65" i="11" s="1"/>
  <c r="K140" i="8"/>
  <c r="K81" i="11" s="1"/>
  <c r="K106" i="8"/>
  <c r="K47" i="11" s="1"/>
  <c r="K113" i="8"/>
  <c r="K54" i="11" s="1"/>
  <c r="K129" i="8"/>
  <c r="K70" i="11" s="1"/>
  <c r="K145" i="8"/>
  <c r="K86" i="11" s="1"/>
  <c r="K111" i="8"/>
  <c r="K52" i="11" s="1"/>
  <c r="K118" i="8"/>
  <c r="K59" i="11" s="1"/>
  <c r="K134" i="8"/>
  <c r="K75" i="11" s="1"/>
  <c r="K150" i="8"/>
  <c r="K91" i="11" s="1"/>
  <c r="K97" i="8"/>
  <c r="K38" i="11" s="1"/>
  <c r="K101" i="8"/>
  <c r="K42" i="11" s="1"/>
  <c r="K123" i="8"/>
  <c r="K64" i="11" s="1"/>
  <c r="K139" i="8"/>
  <c r="K80" i="11" s="1"/>
  <c r="K105" i="8"/>
  <c r="K46" i="11" s="1"/>
  <c r="K102" i="8"/>
  <c r="K43" i="11" s="1"/>
  <c r="K128" i="8"/>
  <c r="K69" i="11" s="1"/>
  <c r="K144" i="8"/>
  <c r="K85" i="11" s="1"/>
  <c r="K110" i="8"/>
  <c r="K51" i="11" s="1"/>
  <c r="K117" i="8"/>
  <c r="K58" i="11" s="1"/>
  <c r="K133" i="8"/>
  <c r="K74" i="11" s="1"/>
  <c r="K149" i="8"/>
  <c r="K90" i="11" s="1"/>
  <c r="K96" i="8"/>
  <c r="K37" i="11" s="1"/>
  <c r="K122" i="8"/>
  <c r="K63" i="11" s="1"/>
  <c r="K138" i="8"/>
  <c r="K79" i="11" s="1"/>
  <c r="K104" i="8"/>
  <c r="K45" i="11" s="1"/>
  <c r="K127" i="8"/>
  <c r="K68" i="11" s="1"/>
  <c r="K143" i="8"/>
  <c r="K84" i="11" s="1"/>
  <c r="K109" i="8"/>
  <c r="K50" i="11" s="1"/>
  <c r="K116" i="8"/>
  <c r="K57" i="11" s="1"/>
  <c r="K132" i="8"/>
  <c r="K73" i="11" s="1"/>
  <c r="K148" i="8"/>
  <c r="K89" i="11" s="1"/>
  <c r="K95" i="8"/>
  <c r="K36" i="11" s="1"/>
  <c r="K121" i="8"/>
  <c r="K62" i="11" s="1"/>
  <c r="K137" i="8"/>
  <c r="K78" i="11" s="1"/>
  <c r="K103" i="8"/>
  <c r="K44" i="11" s="1"/>
  <c r="K100" i="8"/>
  <c r="K41" i="11" s="1"/>
  <c r="K126" i="8"/>
  <c r="K67" i="11" s="1"/>
  <c r="K142" i="8"/>
  <c r="K83" i="11" s="1"/>
  <c r="K108" i="8"/>
  <c r="K49" i="11" s="1"/>
  <c r="F52" i="1"/>
  <c r="F51" i="1"/>
  <c r="F50" i="1"/>
  <c r="F49" i="1"/>
  <c r="F48" i="1"/>
  <c r="F47" i="1"/>
  <c r="F46" i="1"/>
  <c r="F45" i="1"/>
  <c r="F44" i="1"/>
  <c r="F43" i="1"/>
  <c r="F42" i="1"/>
  <c r="F41" i="1"/>
  <c r="G199" i="8" l="1"/>
  <c r="I42" i="3"/>
  <c r="E145" i="9"/>
  <c r="F145" i="9" s="1"/>
  <c r="N241" i="9"/>
  <c r="O241" i="9" s="1"/>
  <c r="G238" i="8"/>
  <c r="I238" i="8" s="1"/>
  <c r="I92" i="3"/>
  <c r="D474" i="3"/>
  <c r="G281" i="8"/>
  <c r="I281" i="8" s="1"/>
  <c r="I146" i="3"/>
  <c r="O269" i="3"/>
  <c r="O268" i="3"/>
  <c r="O252" i="3" l="1"/>
  <c r="O255" i="3"/>
  <c r="O251" i="3"/>
  <c r="P269" i="3"/>
  <c r="P268" i="3"/>
  <c r="G321" i="3" l="1"/>
  <c r="G310" i="3"/>
  <c r="G299" i="3"/>
  <c r="G288" i="3"/>
  <c r="G277" i="3"/>
  <c r="G266" i="3"/>
  <c r="E252" i="3"/>
  <c r="G322" i="3"/>
  <c r="G311" i="3"/>
  <c r="G278" i="3"/>
  <c r="G300" i="3"/>
  <c r="G289" i="3"/>
  <c r="G267" i="3"/>
  <c r="E255" i="3"/>
  <c r="N272" i="3" s="1"/>
  <c r="L272" i="3" s="1"/>
  <c r="G330" i="3"/>
  <c r="G326" i="3"/>
  <c r="G315" i="3"/>
  <c r="G306" i="3"/>
  <c r="G295" i="3"/>
  <c r="G273" i="3"/>
  <c r="G328" i="3"/>
  <c r="G319" i="3"/>
  <c r="G317" i="3"/>
  <c r="G304" i="3"/>
  <c r="G286" i="3"/>
  <c r="G284" i="3"/>
  <c r="G282" i="3"/>
  <c r="G308" i="3"/>
  <c r="G297" i="3"/>
  <c r="G293" i="3"/>
  <c r="G275" i="3"/>
  <c r="G271" i="3"/>
  <c r="E251" i="3"/>
  <c r="N269" i="3" l="1"/>
  <c r="L269" i="3" s="1"/>
  <c r="L335" i="8"/>
  <c r="M335" i="8" s="1"/>
  <c r="J541" i="8" s="1"/>
  <c r="L336" i="8"/>
  <c r="M336" i="8" s="1"/>
  <c r="K541" i="8" s="1"/>
  <c r="L337" i="8"/>
  <c r="M337" i="8" s="1"/>
  <c r="L541" i="8" s="1"/>
  <c r="L338" i="8"/>
  <c r="M338" i="8" s="1"/>
  <c r="M541" i="8" s="1"/>
  <c r="L331" i="8"/>
  <c r="M331" i="8" s="1"/>
  <c r="F541" i="8" s="1"/>
  <c r="L339" i="8"/>
  <c r="M339" i="8" s="1"/>
  <c r="N541" i="8" s="1"/>
  <c r="L332" i="8"/>
  <c r="M332" i="8" s="1"/>
  <c r="G541" i="8" s="1"/>
  <c r="L340" i="8"/>
  <c r="M340" i="8" s="1"/>
  <c r="O541" i="8" s="1"/>
  <c r="L333" i="8"/>
  <c r="M333" i="8" s="1"/>
  <c r="H541" i="8" s="1"/>
  <c r="L341" i="8"/>
  <c r="M341" i="8" s="1"/>
  <c r="P541" i="8" s="1"/>
  <c r="L334" i="8"/>
  <c r="M334" i="8" s="1"/>
  <c r="I541" i="8" s="1"/>
  <c r="L330" i="8"/>
  <c r="M330" i="8" s="1"/>
  <c r="E541" i="8" s="1"/>
  <c r="N268" i="3"/>
  <c r="L268" i="3" s="1"/>
  <c r="E277" i="3" s="1"/>
  <c r="H277" i="3" s="1"/>
  <c r="I277" i="3" s="1"/>
  <c r="AY358" i="8"/>
  <c r="AZ358" i="8" s="1"/>
  <c r="AY357" i="8"/>
  <c r="AZ357" i="8" s="1"/>
  <c r="AY352" i="8"/>
  <c r="AZ352" i="8" s="1"/>
  <c r="AY351" i="8"/>
  <c r="AZ351" i="8" s="1"/>
  <c r="L321" i="8"/>
  <c r="M321" i="8" s="1"/>
  <c r="J535" i="8" s="1"/>
  <c r="L317" i="8"/>
  <c r="M317" i="8" s="1"/>
  <c r="F535" i="8" s="1"/>
  <c r="L325" i="8"/>
  <c r="M325" i="8" s="1"/>
  <c r="N535" i="8" s="1"/>
  <c r="L326" i="8"/>
  <c r="M326" i="8" s="1"/>
  <c r="O535" i="8" s="1"/>
  <c r="AY356" i="8"/>
  <c r="AZ356" i="8" s="1"/>
  <c r="L322" i="8"/>
  <c r="M322" i="8" s="1"/>
  <c r="K535" i="8" s="1"/>
  <c r="L327" i="8"/>
  <c r="M327" i="8" s="1"/>
  <c r="P535" i="8" s="1"/>
  <c r="L320" i="8"/>
  <c r="M320" i="8" s="1"/>
  <c r="I535" i="8" s="1"/>
  <c r="AY355" i="8"/>
  <c r="AZ355" i="8" s="1"/>
  <c r="AY350" i="8"/>
  <c r="AZ350" i="8" s="1"/>
  <c r="L323" i="8"/>
  <c r="M323" i="8" s="1"/>
  <c r="L535" i="8" s="1"/>
  <c r="AY360" i="8"/>
  <c r="AZ360" i="8" s="1"/>
  <c r="AY349" i="8"/>
  <c r="AZ349" i="8" s="1"/>
  <c r="L324" i="8"/>
  <c r="M324" i="8" s="1"/>
  <c r="M535" i="8" s="1"/>
  <c r="AY359" i="8"/>
  <c r="AZ359" i="8" s="1"/>
  <c r="AY354" i="8"/>
  <c r="AZ354" i="8" s="1"/>
  <c r="L319" i="8"/>
  <c r="M319" i="8" s="1"/>
  <c r="H535" i="8" s="1"/>
  <c r="L316" i="8"/>
  <c r="M316" i="8" s="1"/>
  <c r="E535" i="8" s="1"/>
  <c r="AY353" i="8"/>
  <c r="AZ353" i="8" s="1"/>
  <c r="L318" i="8"/>
  <c r="M318" i="8" s="1"/>
  <c r="G535" i="8" s="1"/>
  <c r="E299" i="3"/>
  <c r="H299" i="3" s="1"/>
  <c r="I299" i="3" s="1"/>
  <c r="E288" i="3"/>
  <c r="H288" i="3" s="1"/>
  <c r="I288" i="3" s="1"/>
  <c r="E322" i="3"/>
  <c r="H322" i="3" s="1"/>
  <c r="I322" i="3" s="1"/>
  <c r="E311" i="3"/>
  <c r="H311" i="3" s="1"/>
  <c r="I311" i="3" s="1"/>
  <c r="E278" i="3"/>
  <c r="E300" i="3"/>
  <c r="H300" i="3" s="1"/>
  <c r="I300" i="3" s="1"/>
  <c r="E289" i="3"/>
  <c r="H289" i="3" s="1"/>
  <c r="I289" i="3" s="1"/>
  <c r="E267" i="3"/>
  <c r="H267" i="3" s="1"/>
  <c r="I267" i="3" s="1"/>
  <c r="E328" i="3"/>
  <c r="H328" i="3" s="1"/>
  <c r="I327" i="3" s="1"/>
  <c r="E319" i="3"/>
  <c r="H319" i="3" s="1"/>
  <c r="I319" i="3" s="1"/>
  <c r="E317" i="3"/>
  <c r="H317" i="3" s="1"/>
  <c r="I316" i="3" s="1"/>
  <c r="E304" i="3"/>
  <c r="H304" i="3" s="1"/>
  <c r="I304" i="3" s="1"/>
  <c r="E284" i="3"/>
  <c r="E308" i="3"/>
  <c r="H308" i="3" s="1"/>
  <c r="I308" i="3" s="1"/>
  <c r="E297" i="3"/>
  <c r="H297" i="3" s="1"/>
  <c r="I297" i="3" s="1"/>
  <c r="E293" i="3"/>
  <c r="H293" i="3" s="1"/>
  <c r="I293" i="3" s="1"/>
  <c r="E273" i="3"/>
  <c r="H273" i="3" s="1"/>
  <c r="I272" i="3" s="1"/>
  <c r="E330" i="3"/>
  <c r="H330" i="3" s="1"/>
  <c r="I330" i="3" s="1"/>
  <c r="E326" i="3"/>
  <c r="H326" i="3" s="1"/>
  <c r="I326" i="3" s="1"/>
  <c r="E315" i="3"/>
  <c r="H315" i="3" s="1"/>
  <c r="I315" i="3" s="1"/>
  <c r="E286" i="3"/>
  <c r="H286" i="3" s="1"/>
  <c r="I286" i="3" s="1"/>
  <c r="E282" i="3"/>
  <c r="H282" i="3" s="1"/>
  <c r="I282" i="3" s="1"/>
  <c r="E306" i="3"/>
  <c r="H306" i="3" s="1"/>
  <c r="I305" i="3" s="1"/>
  <c r="E295" i="3"/>
  <c r="H295" i="3" s="1"/>
  <c r="I294" i="3" s="1"/>
  <c r="E275" i="3"/>
  <c r="E271" i="3"/>
  <c r="H284" i="3"/>
  <c r="I283" i="3" s="1"/>
  <c r="H278" i="3"/>
  <c r="I278" i="3" s="1"/>
  <c r="N25" i="1"/>
  <c r="N60" i="1" s="1"/>
  <c r="N24" i="1"/>
  <c r="N59" i="1" s="1"/>
  <c r="N685" i="8" l="1"/>
  <c r="N613" i="8"/>
  <c r="O607" i="8"/>
  <c r="O679" i="8"/>
  <c r="F685" i="8"/>
  <c r="F613" i="8"/>
  <c r="L607" i="8"/>
  <c r="L679" i="8"/>
  <c r="N607" i="8"/>
  <c r="N679" i="8"/>
  <c r="E613" i="8"/>
  <c r="E685" i="8"/>
  <c r="M685" i="8"/>
  <c r="M613" i="8"/>
  <c r="K607" i="8"/>
  <c r="K679" i="8"/>
  <c r="E310" i="3"/>
  <c r="H310" i="3" s="1"/>
  <c r="I310" i="3" s="1"/>
  <c r="E607" i="8"/>
  <c r="E679" i="8"/>
  <c r="F679" i="8"/>
  <c r="F607" i="8"/>
  <c r="I613" i="8"/>
  <c r="I685" i="8"/>
  <c r="L685" i="8"/>
  <c r="L613" i="8"/>
  <c r="G685" i="8"/>
  <c r="G613" i="8"/>
  <c r="E321" i="3"/>
  <c r="H321" i="3" s="1"/>
  <c r="I321" i="3" s="1"/>
  <c r="H679" i="8"/>
  <c r="H607" i="8"/>
  <c r="J679" i="8"/>
  <c r="J607" i="8"/>
  <c r="P685" i="8"/>
  <c r="P613" i="8"/>
  <c r="K685" i="8"/>
  <c r="K613" i="8"/>
  <c r="M607" i="8"/>
  <c r="M679" i="8"/>
  <c r="E266" i="3"/>
  <c r="H266" i="3" s="1"/>
  <c r="I266" i="3" s="1"/>
  <c r="D425" i="3" s="1"/>
  <c r="E425" i="3" s="1"/>
  <c r="F425" i="3" s="1"/>
  <c r="E484" i="3" s="1"/>
  <c r="I679" i="8"/>
  <c r="I607" i="8"/>
  <c r="H613" i="8"/>
  <c r="H685" i="8"/>
  <c r="J613" i="8"/>
  <c r="J685" i="8"/>
  <c r="G679" i="8"/>
  <c r="G607" i="8"/>
  <c r="P679" i="8"/>
  <c r="P607" i="8"/>
  <c r="O685" i="8"/>
  <c r="O613" i="8"/>
  <c r="D440" i="3"/>
  <c r="E440" i="3" s="1"/>
  <c r="F440" i="3" s="1"/>
  <c r="E505" i="3" s="1"/>
  <c r="D447" i="3"/>
  <c r="D419" i="3"/>
  <c r="E419" i="3" s="1"/>
  <c r="F419" i="3" s="1"/>
  <c r="E475" i="3" s="1"/>
  <c r="D412" i="3"/>
  <c r="D426" i="3"/>
  <c r="E426" i="3" s="1"/>
  <c r="F426" i="3" s="1"/>
  <c r="E485" i="3" s="1"/>
  <c r="D433" i="3"/>
  <c r="D450" i="3"/>
  <c r="E450" i="3" s="1"/>
  <c r="F450" i="3" s="1"/>
  <c r="E520" i="3" s="1"/>
  <c r="D429" i="3"/>
  <c r="D436" i="3"/>
  <c r="E436" i="3" s="1"/>
  <c r="F436" i="3" s="1"/>
  <c r="E500" i="3" s="1"/>
  <c r="F500" i="3" s="1"/>
  <c r="D58" i="9" s="1"/>
  <c r="H58" i="9" s="1"/>
  <c r="D443" i="3"/>
  <c r="D422" i="3"/>
  <c r="E422" i="3" s="1"/>
  <c r="F422" i="3" s="1"/>
  <c r="E480" i="3" s="1"/>
  <c r="F480" i="3" s="1"/>
  <c r="D38" i="9" s="1"/>
  <c r="H38" i="9" s="1"/>
  <c r="D415" i="3"/>
  <c r="N173" i="3"/>
  <c r="N244" i="3" s="1"/>
  <c r="N172" i="3"/>
  <c r="N243" i="3" s="1"/>
  <c r="N259" i="3" s="1"/>
  <c r="N404" i="3" s="1"/>
  <c r="N457" i="3" s="1"/>
  <c r="N2" i="6" s="1"/>
  <c r="D432" i="3" l="1"/>
  <c r="E432" i="3" s="1"/>
  <c r="F432" i="3" s="1"/>
  <c r="E494" i="3" s="1"/>
  <c r="F494" i="3" s="1"/>
  <c r="D52" i="9" s="1"/>
  <c r="H52" i="9" s="1"/>
  <c r="E147" i="9"/>
  <c r="F147" i="9" s="1"/>
  <c r="N243" i="9"/>
  <c r="O243" i="9" s="1"/>
  <c r="D411" i="3"/>
  <c r="D418" i="3"/>
  <c r="E418" i="3" s="1"/>
  <c r="F418" i="3" s="1"/>
  <c r="E474" i="3" s="1"/>
  <c r="F474" i="3" s="1"/>
  <c r="D32" i="9" s="1"/>
  <c r="H32" i="9" s="1"/>
  <c r="N263" i="9"/>
  <c r="O263" i="9" s="1"/>
  <c r="E167" i="9"/>
  <c r="F167" i="9" s="1"/>
  <c r="D446" i="3"/>
  <c r="E446" i="3" s="1"/>
  <c r="F446" i="3" s="1"/>
  <c r="E514" i="3" s="1"/>
  <c r="D439" i="3"/>
  <c r="E439" i="3" s="1"/>
  <c r="F439" i="3" s="1"/>
  <c r="E504" i="3" s="1"/>
  <c r="E433" i="3"/>
  <c r="F433" i="3" s="1"/>
  <c r="E495" i="3" s="1"/>
  <c r="E447" i="3"/>
  <c r="F447" i="3" s="1"/>
  <c r="E515" i="3" s="1"/>
  <c r="E429" i="3"/>
  <c r="F429" i="3" s="1"/>
  <c r="E490" i="3" s="1"/>
  <c r="E443" i="3"/>
  <c r="F443" i="3" s="1"/>
  <c r="E510" i="3" s="1"/>
  <c r="N405" i="3"/>
  <c r="N458" i="3" s="1"/>
  <c r="N3" i="6" s="1"/>
  <c r="N260" i="3"/>
  <c r="N32" i="6"/>
  <c r="N63" i="6" s="1"/>
  <c r="O2" i="8" s="1"/>
  <c r="N2" i="9" s="1"/>
  <c r="E141" i="9" l="1"/>
  <c r="F141" i="9" s="1"/>
  <c r="N237" i="9"/>
  <c r="O237" i="9" s="1"/>
  <c r="O158" i="8"/>
  <c r="O304" i="8" s="1"/>
  <c r="O470" i="8" s="1"/>
  <c r="O525" i="8" s="1"/>
  <c r="O787" i="8" s="1"/>
  <c r="N111" i="9" s="1"/>
  <c r="N2" i="10" s="1"/>
  <c r="N75" i="10" s="1"/>
  <c r="N257" i="9"/>
  <c r="O257" i="9" s="1"/>
  <c r="E161" i="9"/>
  <c r="F161" i="9" s="1"/>
  <c r="N33" i="6"/>
  <c r="N64" i="6" s="1"/>
  <c r="O3" i="8" s="1"/>
  <c r="N3" i="9" s="1"/>
  <c r="N2" i="11"/>
  <c r="N2" i="20" s="1"/>
  <c r="O159" i="8" l="1"/>
  <c r="O305" i="8" s="1"/>
  <c r="O471" i="8" s="1"/>
  <c r="O526" i="8" s="1"/>
  <c r="O788" i="8" s="1"/>
  <c r="N112" i="9" s="1"/>
  <c r="N3" i="10" s="1"/>
  <c r="N76" i="10" s="1"/>
  <c r="N3" i="11" s="1"/>
  <c r="N3" i="20" s="1"/>
  <c r="J81" i="10" l="1"/>
  <c r="D122" i="9"/>
  <c r="H81" i="10"/>
  <c r="D121" i="9"/>
  <c r="F81" i="10"/>
  <c r="D120" i="9"/>
  <c r="N81" i="10"/>
  <c r="D124" i="9"/>
  <c r="L81" i="10"/>
  <c r="D123" i="9"/>
  <c r="M9" i="1"/>
  <c r="L508" i="8"/>
  <c r="L509" i="8"/>
  <c r="L510" i="8"/>
  <c r="L511" i="8"/>
  <c r="L512" i="8"/>
  <c r="L513" i="8"/>
  <c r="L514" i="8"/>
  <c r="L515" i="8"/>
  <c r="L516" i="8"/>
  <c r="L517" i="8"/>
  <c r="L518" i="8"/>
  <c r="L507" i="8"/>
  <c r="M507" i="8"/>
  <c r="K508" i="8"/>
  <c r="K509" i="8"/>
  <c r="K510" i="8"/>
  <c r="K511" i="8"/>
  <c r="K512" i="8"/>
  <c r="K513" i="8"/>
  <c r="K514" i="8"/>
  <c r="K515" i="8"/>
  <c r="K516" i="8"/>
  <c r="K517" i="8"/>
  <c r="K518" i="8"/>
  <c r="K507" i="8"/>
  <c r="M503" i="8"/>
  <c r="K757" i="8" s="1"/>
  <c r="M502" i="8"/>
  <c r="K756" i="8" s="1"/>
  <c r="C469" i="8"/>
  <c r="N590" i="8" l="1"/>
  <c r="N578" i="8"/>
  <c r="N587" i="8"/>
  <c r="N586" i="8"/>
  <c r="N594" i="8"/>
  <c r="J590" i="8"/>
  <c r="J587" i="8"/>
  <c r="J586" i="8"/>
  <c r="J594" i="8"/>
  <c r="J578" i="8"/>
  <c r="F578" i="8"/>
  <c r="F590" i="8"/>
  <c r="F587" i="8"/>
  <c r="F594" i="8"/>
  <c r="F586" i="8"/>
  <c r="O596" i="8"/>
  <c r="O567" i="8"/>
  <c r="O563" i="8"/>
  <c r="O560" i="8"/>
  <c r="O603" i="8"/>
  <c r="O595" i="8"/>
  <c r="O559" i="8"/>
  <c r="O599" i="8"/>
  <c r="K567" i="8"/>
  <c r="K559" i="8"/>
  <c r="K603" i="8"/>
  <c r="K599" i="8"/>
  <c r="K563" i="8"/>
  <c r="K596" i="8"/>
  <c r="K560" i="8"/>
  <c r="K595" i="8"/>
  <c r="G599" i="8"/>
  <c r="G595" i="8"/>
  <c r="G559" i="8"/>
  <c r="G596" i="8"/>
  <c r="G563" i="8"/>
  <c r="G560" i="8"/>
  <c r="G603" i="8"/>
  <c r="G567" i="8"/>
  <c r="O594" i="8"/>
  <c r="O578" i="8"/>
  <c r="O586" i="8"/>
  <c r="O590" i="8"/>
  <c r="O587" i="8"/>
  <c r="K590" i="8"/>
  <c r="K594" i="8"/>
  <c r="K587" i="8"/>
  <c r="K578" i="8"/>
  <c r="K586" i="8"/>
  <c r="G578" i="8"/>
  <c r="G590" i="8"/>
  <c r="G586" i="8"/>
  <c r="G594" i="8"/>
  <c r="G587" i="8"/>
  <c r="P567" i="8"/>
  <c r="P595" i="8"/>
  <c r="P559" i="8"/>
  <c r="P596" i="8"/>
  <c r="P560" i="8"/>
  <c r="P599" i="8"/>
  <c r="P563" i="8"/>
  <c r="P603" i="8"/>
  <c r="L563" i="8"/>
  <c r="L603" i="8"/>
  <c r="L567" i="8"/>
  <c r="L595" i="8"/>
  <c r="L559" i="8"/>
  <c r="L596" i="8"/>
  <c r="L560" i="8"/>
  <c r="L599" i="8"/>
  <c r="H560" i="8"/>
  <c r="H599" i="8"/>
  <c r="H563" i="8"/>
  <c r="H603" i="8"/>
  <c r="H567" i="8"/>
  <c r="H595" i="8"/>
  <c r="H559" i="8"/>
  <c r="H596" i="8"/>
  <c r="P587" i="8"/>
  <c r="P594" i="8"/>
  <c r="P586" i="8"/>
  <c r="P590" i="8"/>
  <c r="P578" i="8"/>
  <c r="L587" i="8"/>
  <c r="L578" i="8"/>
  <c r="L594" i="8"/>
  <c r="L586" i="8"/>
  <c r="L590" i="8"/>
  <c r="H590" i="8"/>
  <c r="H587" i="8"/>
  <c r="H594" i="8"/>
  <c r="H586" i="8"/>
  <c r="H578" i="8"/>
  <c r="E567" i="8"/>
  <c r="E595" i="8"/>
  <c r="E559" i="8"/>
  <c r="E596" i="8"/>
  <c r="E560" i="8"/>
  <c r="E599" i="8"/>
  <c r="E563" i="8"/>
  <c r="E603" i="8"/>
  <c r="M595" i="8"/>
  <c r="M560" i="8"/>
  <c r="M599" i="8"/>
  <c r="M563" i="8"/>
  <c r="M603" i="8"/>
  <c r="M567" i="8"/>
  <c r="M559" i="8"/>
  <c r="M596" i="8"/>
  <c r="I559" i="8"/>
  <c r="I596" i="8"/>
  <c r="I595" i="8"/>
  <c r="I560" i="8"/>
  <c r="I599" i="8"/>
  <c r="I563" i="8"/>
  <c r="I603" i="8"/>
  <c r="I567" i="8"/>
  <c r="E586" i="8"/>
  <c r="E578" i="8"/>
  <c r="E590" i="8"/>
  <c r="E587" i="8"/>
  <c r="E594" i="8"/>
  <c r="M587" i="8"/>
  <c r="M578" i="8"/>
  <c r="M594" i="8"/>
  <c r="M586" i="8"/>
  <c r="M590" i="8"/>
  <c r="I586" i="8"/>
  <c r="I590" i="8"/>
  <c r="I587" i="8"/>
  <c r="I594" i="8"/>
  <c r="I578" i="8"/>
  <c r="E542" i="8"/>
  <c r="E558" i="8"/>
  <c r="E550" i="8"/>
  <c r="E551" i="8"/>
  <c r="E554" i="8"/>
  <c r="N563" i="8"/>
  <c r="N603" i="8"/>
  <c r="N595" i="8"/>
  <c r="N567" i="8"/>
  <c r="N559" i="8"/>
  <c r="N596" i="8"/>
  <c r="N560" i="8"/>
  <c r="N599" i="8"/>
  <c r="J560" i="8"/>
  <c r="J599" i="8"/>
  <c r="J563" i="8"/>
  <c r="J603" i="8"/>
  <c r="J595" i="8"/>
  <c r="J567" i="8"/>
  <c r="J559" i="8"/>
  <c r="J596" i="8"/>
  <c r="F559" i="8"/>
  <c r="F596" i="8"/>
  <c r="F560" i="8"/>
  <c r="F599" i="8"/>
  <c r="F563" i="8"/>
  <c r="F603" i="8"/>
  <c r="F595" i="8"/>
  <c r="F567" i="8"/>
  <c r="H261" i="9"/>
  <c r="I261" i="9" s="1"/>
  <c r="I134" i="11" s="1"/>
  <c r="H263" i="9"/>
  <c r="I263" i="9" s="1"/>
  <c r="I136" i="11" s="1"/>
  <c r="H257" i="9"/>
  <c r="I257" i="9" s="1"/>
  <c r="I130" i="11" s="1"/>
  <c r="H243" i="9"/>
  <c r="I243" i="9" s="1"/>
  <c r="I116" i="11" s="1"/>
  <c r="H241" i="9"/>
  <c r="I241" i="9" s="1"/>
  <c r="I114" i="11" s="1"/>
  <c r="H237" i="9"/>
  <c r="I237" i="9" s="1"/>
  <c r="I110" i="11" s="1"/>
  <c r="H165" i="9"/>
  <c r="H167" i="9"/>
  <c r="H161" i="9"/>
  <c r="H145" i="9"/>
  <c r="H147" i="9"/>
  <c r="H141" i="9"/>
  <c r="E261" i="9"/>
  <c r="F261" i="9" s="1"/>
  <c r="D134" i="11" s="1"/>
  <c r="D43" i="20" s="1"/>
  <c r="E263" i="9"/>
  <c r="F263" i="9" s="1"/>
  <c r="D136" i="11" s="1"/>
  <c r="D45" i="20" s="1"/>
  <c r="E257" i="9"/>
  <c r="F257" i="9" s="1"/>
  <c r="D130" i="11" s="1"/>
  <c r="D39" i="20" s="1"/>
  <c r="E241" i="9"/>
  <c r="F241" i="9" s="1"/>
  <c r="D114" i="11" s="1"/>
  <c r="D23" i="20" s="1"/>
  <c r="E243" i="9"/>
  <c r="F243" i="9" s="1"/>
  <c r="D116" i="11" s="1"/>
  <c r="D25" i="20" s="1"/>
  <c r="E237" i="9"/>
  <c r="F237" i="9" s="1"/>
  <c r="D110" i="11" s="1"/>
  <c r="D19" i="20" s="1"/>
  <c r="K261" i="9"/>
  <c r="L261" i="9" s="1"/>
  <c r="N134" i="11" s="1"/>
  <c r="K263" i="9"/>
  <c r="L263" i="9" s="1"/>
  <c r="N136" i="11" s="1"/>
  <c r="K257" i="9"/>
  <c r="L257" i="9" s="1"/>
  <c r="N130" i="11" s="1"/>
  <c r="K241" i="9"/>
  <c r="L241" i="9" s="1"/>
  <c r="N114" i="11" s="1"/>
  <c r="K243" i="9"/>
  <c r="L243" i="9" s="1"/>
  <c r="N116" i="11" s="1"/>
  <c r="K237" i="9"/>
  <c r="L237" i="9" s="1"/>
  <c r="N110" i="11" s="1"/>
  <c r="K165" i="9"/>
  <c r="L165" i="9" s="1"/>
  <c r="N68" i="11" s="1"/>
  <c r="K167" i="9"/>
  <c r="L167" i="9" s="1"/>
  <c r="N70" i="11" s="1"/>
  <c r="K161" i="9"/>
  <c r="L161" i="9" s="1"/>
  <c r="N64" i="11" s="1"/>
  <c r="K145" i="9"/>
  <c r="L145" i="9" s="1"/>
  <c r="N48" i="11" s="1"/>
  <c r="K147" i="9"/>
  <c r="L147" i="9" s="1"/>
  <c r="N50" i="11" s="1"/>
  <c r="K141" i="9"/>
  <c r="L141" i="9" s="1"/>
  <c r="N44" i="11" s="1"/>
  <c r="K130" i="10"/>
  <c r="J147" i="11" s="1"/>
  <c r="K136" i="10"/>
  <c r="J153" i="11" s="1"/>
  <c r="K110" i="10"/>
  <c r="J127" i="11" s="1"/>
  <c r="K119" i="10"/>
  <c r="J136" i="11" s="1"/>
  <c r="K129" i="10"/>
  <c r="J146" i="11" s="1"/>
  <c r="K109" i="10"/>
  <c r="J126" i="11" s="1"/>
  <c r="K140" i="10"/>
  <c r="J157" i="11" s="1"/>
  <c r="K120" i="10"/>
  <c r="J137" i="11" s="1"/>
  <c r="K126" i="10"/>
  <c r="J143" i="11" s="1"/>
  <c r="K139" i="10"/>
  <c r="J156" i="11" s="1"/>
  <c r="K116" i="10"/>
  <c r="J133" i="11" s="1"/>
  <c r="I126" i="10"/>
  <c r="E143" i="11" s="1"/>
  <c r="E52" i="20" s="1"/>
  <c r="I129" i="10"/>
  <c r="E146" i="11" s="1"/>
  <c r="E55" i="20" s="1"/>
  <c r="I140" i="10"/>
  <c r="E157" i="11" s="1"/>
  <c r="E66" i="20" s="1"/>
  <c r="I109" i="10"/>
  <c r="E126" i="11" s="1"/>
  <c r="E35" i="20" s="1"/>
  <c r="I116" i="10"/>
  <c r="E133" i="11" s="1"/>
  <c r="E42" i="20" s="1"/>
  <c r="I139" i="10"/>
  <c r="E156" i="11" s="1"/>
  <c r="E65" i="20" s="1"/>
  <c r="I136" i="10"/>
  <c r="E153" i="11" s="1"/>
  <c r="E62" i="20" s="1"/>
  <c r="I130" i="10"/>
  <c r="E147" i="11" s="1"/>
  <c r="E56" i="20" s="1"/>
  <c r="I119" i="10"/>
  <c r="E136" i="11" s="1"/>
  <c r="E45" i="20" s="1"/>
  <c r="I120" i="10"/>
  <c r="E137" i="11" s="1"/>
  <c r="E46" i="20" s="1"/>
  <c r="I110" i="10"/>
  <c r="E127" i="11" s="1"/>
  <c r="E36" i="20" s="1"/>
  <c r="E109" i="10"/>
  <c r="J60" i="11" s="1"/>
  <c r="E129" i="10"/>
  <c r="J80" i="11" s="1"/>
  <c r="E126" i="10"/>
  <c r="J77" i="11" s="1"/>
  <c r="E116" i="10"/>
  <c r="J67" i="11" s="1"/>
  <c r="E140" i="10"/>
  <c r="J91" i="11" s="1"/>
  <c r="E110" i="10"/>
  <c r="J61" i="11" s="1"/>
  <c r="E130" i="10"/>
  <c r="J81" i="11" s="1"/>
  <c r="E119" i="10"/>
  <c r="J70" i="11" s="1"/>
  <c r="E120" i="10"/>
  <c r="J71" i="11" s="1"/>
  <c r="E136" i="10"/>
  <c r="J87" i="11" s="1"/>
  <c r="E139" i="10"/>
  <c r="J90" i="11" s="1"/>
  <c r="M126" i="10"/>
  <c r="O143" i="11" s="1"/>
  <c r="M139" i="10"/>
  <c r="O156" i="11" s="1"/>
  <c r="M120" i="10"/>
  <c r="O137" i="11" s="1"/>
  <c r="M130" i="10"/>
  <c r="O147" i="11" s="1"/>
  <c r="M119" i="10"/>
  <c r="O136" i="11" s="1"/>
  <c r="M110" i="10"/>
  <c r="O127" i="11" s="1"/>
  <c r="M129" i="10"/>
  <c r="O146" i="11" s="1"/>
  <c r="M140" i="10"/>
  <c r="O157" i="11" s="1"/>
  <c r="M109" i="10"/>
  <c r="O126" i="11" s="1"/>
  <c r="M116" i="10"/>
  <c r="O133" i="11" s="1"/>
  <c r="M136" i="10"/>
  <c r="O153" i="11" s="1"/>
  <c r="O645" i="8"/>
  <c r="L65" i="11" s="1"/>
  <c r="O663" i="8"/>
  <c r="O660" i="8"/>
  <c r="L67" i="11" s="1"/>
  <c r="O656" i="8"/>
  <c r="K645" i="8"/>
  <c r="K663" i="8"/>
  <c r="K660" i="8"/>
  <c r="K656" i="8"/>
  <c r="G645" i="8"/>
  <c r="G663" i="8"/>
  <c r="G660" i="8"/>
  <c r="G656" i="8"/>
  <c r="P664" i="8"/>
  <c r="P672" i="8"/>
  <c r="P701" i="8"/>
  <c r="P688" i="8"/>
  <c r="P687" i="8"/>
  <c r="P683" i="8"/>
  <c r="P682" i="8"/>
  <c r="P678" i="8"/>
  <c r="P669" i="8"/>
  <c r="P640" i="8"/>
  <c r="Q64" i="11" s="1"/>
  <c r="L664" i="8"/>
  <c r="L672" i="8"/>
  <c r="L701" i="8"/>
  <c r="L688" i="8"/>
  <c r="L687" i="8"/>
  <c r="L683" i="8"/>
  <c r="L682" i="8"/>
  <c r="L678" i="8"/>
  <c r="L669" i="8"/>
  <c r="L640" i="8"/>
  <c r="H664" i="8"/>
  <c r="H672" i="8"/>
  <c r="H701" i="8"/>
  <c r="H688" i="8"/>
  <c r="H687" i="8"/>
  <c r="H683" i="8"/>
  <c r="H682" i="8"/>
  <c r="H678" i="8"/>
  <c r="H669" i="8"/>
  <c r="H640" i="8"/>
  <c r="P663" i="8"/>
  <c r="P660" i="8"/>
  <c r="Q67" i="11" s="1"/>
  <c r="P645" i="8"/>
  <c r="Q65" i="11" s="1"/>
  <c r="P656" i="8"/>
  <c r="L663" i="8"/>
  <c r="L660" i="8"/>
  <c r="L645" i="8"/>
  <c r="L656" i="8"/>
  <c r="H663" i="8"/>
  <c r="H660" i="8"/>
  <c r="H645" i="8"/>
  <c r="H656" i="8"/>
  <c r="E701" i="8"/>
  <c r="E669" i="8"/>
  <c r="E672" i="8"/>
  <c r="E664" i="8"/>
  <c r="E640" i="8"/>
  <c r="G130" i="11" s="1"/>
  <c r="G39" i="20" s="1"/>
  <c r="M701" i="8"/>
  <c r="M688" i="8"/>
  <c r="M687" i="8"/>
  <c r="M683" i="8"/>
  <c r="M682" i="8"/>
  <c r="M678" i="8"/>
  <c r="M672" i="8"/>
  <c r="M664" i="8"/>
  <c r="M669" i="8"/>
  <c r="M640" i="8"/>
  <c r="I701" i="8"/>
  <c r="I688" i="8"/>
  <c r="I687" i="8"/>
  <c r="I683" i="8"/>
  <c r="I682" i="8"/>
  <c r="I678" i="8"/>
  <c r="I672" i="8"/>
  <c r="I664" i="8"/>
  <c r="I669" i="8"/>
  <c r="I640" i="8"/>
  <c r="E656" i="8"/>
  <c r="E660" i="8"/>
  <c r="E645" i="8"/>
  <c r="E663" i="8"/>
  <c r="M645" i="8"/>
  <c r="M663" i="8"/>
  <c r="M660" i="8"/>
  <c r="M656" i="8"/>
  <c r="I645" i="8"/>
  <c r="I663" i="8"/>
  <c r="I660" i="8"/>
  <c r="I656" i="8"/>
  <c r="E688" i="8"/>
  <c r="E687" i="8"/>
  <c r="E683" i="8"/>
  <c r="E682" i="8"/>
  <c r="E678" i="8"/>
  <c r="N664" i="8"/>
  <c r="N701" i="8"/>
  <c r="N688" i="8"/>
  <c r="N687" i="8"/>
  <c r="N683" i="8"/>
  <c r="N682" i="8"/>
  <c r="N678" i="8"/>
  <c r="N672" i="8"/>
  <c r="N669" i="8"/>
  <c r="N640" i="8"/>
  <c r="J664" i="8"/>
  <c r="J701" i="8"/>
  <c r="J672" i="8"/>
  <c r="J669" i="8"/>
  <c r="J640" i="8"/>
  <c r="F664" i="8"/>
  <c r="F701" i="8"/>
  <c r="F688" i="8"/>
  <c r="F687" i="8"/>
  <c r="F683" i="8"/>
  <c r="F682" i="8"/>
  <c r="F678" i="8"/>
  <c r="F672" i="8"/>
  <c r="F669" i="8"/>
  <c r="F640" i="8"/>
  <c r="L130" i="11" s="1"/>
  <c r="N663" i="8"/>
  <c r="N660" i="8"/>
  <c r="N645" i="8"/>
  <c r="N656" i="8"/>
  <c r="J663" i="8"/>
  <c r="J660" i="8"/>
  <c r="J645" i="8"/>
  <c r="J656" i="8"/>
  <c r="F663" i="8"/>
  <c r="F660" i="8"/>
  <c r="F645" i="8"/>
  <c r="F656" i="8"/>
  <c r="O672" i="8"/>
  <c r="O664" i="8"/>
  <c r="O669" i="8"/>
  <c r="O640" i="8"/>
  <c r="L64" i="11" s="1"/>
  <c r="O701" i="8"/>
  <c r="O688" i="8"/>
  <c r="O687" i="8"/>
  <c r="O683" i="8"/>
  <c r="O682" i="8"/>
  <c r="O678" i="8"/>
  <c r="K672" i="8"/>
  <c r="K664" i="8"/>
  <c r="K669" i="8"/>
  <c r="K640" i="8"/>
  <c r="K701" i="8"/>
  <c r="K688" i="8"/>
  <c r="K687" i="8"/>
  <c r="K683" i="8"/>
  <c r="K682" i="8"/>
  <c r="K678" i="8"/>
  <c r="G672" i="8"/>
  <c r="G664" i="8"/>
  <c r="G669" i="8"/>
  <c r="G640" i="8"/>
  <c r="Q130" i="11" s="1"/>
  <c r="G701" i="8"/>
  <c r="G688" i="8"/>
  <c r="G687" i="8"/>
  <c r="G683" i="8"/>
  <c r="G682" i="8"/>
  <c r="G678" i="8"/>
  <c r="J688" i="8"/>
  <c r="J687" i="8"/>
  <c r="J683" i="8"/>
  <c r="J682" i="8"/>
  <c r="J678" i="8"/>
  <c r="P636" i="8"/>
  <c r="P633" i="8"/>
  <c r="P628" i="8"/>
  <c r="L636" i="8"/>
  <c r="L633" i="8"/>
  <c r="L628" i="8"/>
  <c r="H636" i="8"/>
  <c r="H633" i="8"/>
  <c r="H628" i="8"/>
  <c r="O624" i="8"/>
  <c r="L57" i="11" s="1"/>
  <c r="O627" i="8"/>
  <c r="K624" i="8"/>
  <c r="K627" i="8"/>
  <c r="G624" i="8"/>
  <c r="Q123" i="11" s="1"/>
  <c r="G627" i="8"/>
  <c r="E633" i="8"/>
  <c r="E636" i="8"/>
  <c r="E628" i="8"/>
  <c r="M636" i="8"/>
  <c r="M628" i="8"/>
  <c r="M633" i="8"/>
  <c r="I636" i="8"/>
  <c r="I628" i="8"/>
  <c r="I633" i="8"/>
  <c r="P627" i="8"/>
  <c r="P624" i="8"/>
  <c r="Q57" i="11" s="1"/>
  <c r="L627" i="8"/>
  <c r="L624" i="8"/>
  <c r="H627" i="8"/>
  <c r="H624" i="8"/>
  <c r="E627" i="8"/>
  <c r="E620" i="8"/>
  <c r="E624" i="8"/>
  <c r="N628" i="8"/>
  <c r="N636" i="8"/>
  <c r="N633" i="8"/>
  <c r="J628" i="8"/>
  <c r="J636" i="8"/>
  <c r="J633" i="8"/>
  <c r="F628" i="8"/>
  <c r="F636" i="8"/>
  <c r="F633" i="8"/>
  <c r="M627" i="8"/>
  <c r="M624" i="8"/>
  <c r="I627" i="8"/>
  <c r="I624" i="8"/>
  <c r="O636" i="8"/>
  <c r="O633" i="8"/>
  <c r="O628" i="8"/>
  <c r="K636" i="8"/>
  <c r="K633" i="8"/>
  <c r="K628" i="8"/>
  <c r="G636" i="8"/>
  <c r="G633" i="8"/>
  <c r="G628" i="8"/>
  <c r="N627" i="8"/>
  <c r="N624" i="8"/>
  <c r="J627" i="8"/>
  <c r="J624" i="8"/>
  <c r="F627" i="8"/>
  <c r="F624" i="8"/>
  <c r="L123" i="11" s="1"/>
  <c r="O609" i="8"/>
  <c r="O620" i="8"/>
  <c r="L61" i="11" s="1"/>
  <c r="K609" i="8"/>
  <c r="K620" i="8"/>
  <c r="G609" i="8"/>
  <c r="G620" i="8"/>
  <c r="Q127" i="11" s="1"/>
  <c r="P620" i="8"/>
  <c r="Q61" i="11" s="1"/>
  <c r="P609" i="8"/>
  <c r="L620" i="8"/>
  <c r="L609" i="8"/>
  <c r="H620" i="8"/>
  <c r="H609" i="8"/>
  <c r="E609" i="8"/>
  <c r="M620" i="8"/>
  <c r="M609" i="8"/>
  <c r="I620" i="8"/>
  <c r="I609" i="8"/>
  <c r="N609" i="8"/>
  <c r="N620" i="8"/>
  <c r="J609" i="8"/>
  <c r="J620" i="8"/>
  <c r="F609" i="8"/>
  <c r="F620" i="8"/>
  <c r="L127" i="11" s="1"/>
  <c r="P597" i="8"/>
  <c r="P592" i="8"/>
  <c r="L597" i="8"/>
  <c r="L592" i="8"/>
  <c r="H597" i="8"/>
  <c r="H592" i="8"/>
  <c r="E592" i="8"/>
  <c r="E597" i="8"/>
  <c r="M592" i="8"/>
  <c r="M597" i="8"/>
  <c r="I592" i="8"/>
  <c r="I597" i="8"/>
  <c r="N597" i="8"/>
  <c r="N592" i="8"/>
  <c r="J597" i="8"/>
  <c r="J592" i="8"/>
  <c r="F597" i="8"/>
  <c r="F592" i="8"/>
  <c r="O592" i="8"/>
  <c r="O597" i="8"/>
  <c r="K592" i="8"/>
  <c r="K597" i="8"/>
  <c r="G592" i="8"/>
  <c r="G597" i="8"/>
  <c r="P611" i="8"/>
  <c r="P610" i="8"/>
  <c r="P606" i="8"/>
  <c r="P629" i="8"/>
  <c r="P616" i="8"/>
  <c r="P615" i="8"/>
  <c r="L611" i="8"/>
  <c r="L610" i="8"/>
  <c r="L606" i="8"/>
  <c r="L629" i="8"/>
  <c r="L616" i="8"/>
  <c r="L615" i="8"/>
  <c r="H611" i="8"/>
  <c r="H610" i="8"/>
  <c r="H606" i="8"/>
  <c r="H629" i="8"/>
  <c r="H616" i="8"/>
  <c r="H615" i="8"/>
  <c r="O555" i="8"/>
  <c r="K555" i="8"/>
  <c r="G555" i="8"/>
  <c r="E629" i="8"/>
  <c r="M629" i="8"/>
  <c r="M616" i="8"/>
  <c r="M615" i="8"/>
  <c r="M611" i="8"/>
  <c r="M610" i="8"/>
  <c r="M606" i="8"/>
  <c r="I629" i="8"/>
  <c r="I616" i="8"/>
  <c r="I615" i="8"/>
  <c r="I611" i="8"/>
  <c r="I610" i="8"/>
  <c r="I606" i="8"/>
  <c r="P555" i="8"/>
  <c r="L555" i="8"/>
  <c r="H555" i="8"/>
  <c r="E555" i="8"/>
  <c r="E616" i="8"/>
  <c r="E615" i="8"/>
  <c r="E611" i="8"/>
  <c r="E610" i="8"/>
  <c r="E606" i="8"/>
  <c r="N611" i="8"/>
  <c r="N610" i="8"/>
  <c r="N606" i="8"/>
  <c r="N629" i="8"/>
  <c r="N616" i="8"/>
  <c r="N615" i="8"/>
  <c r="J629" i="8"/>
  <c r="F611" i="8"/>
  <c r="F610" i="8"/>
  <c r="F606" i="8"/>
  <c r="F629" i="8"/>
  <c r="F616" i="8"/>
  <c r="F615" i="8"/>
  <c r="M555" i="8"/>
  <c r="I555" i="8"/>
  <c r="O611" i="8"/>
  <c r="O610" i="8"/>
  <c r="O606" i="8"/>
  <c r="O629" i="8"/>
  <c r="O616" i="8"/>
  <c r="O615" i="8"/>
  <c r="K611" i="8"/>
  <c r="K610" i="8"/>
  <c r="K606" i="8"/>
  <c r="K629" i="8"/>
  <c r="K616" i="8"/>
  <c r="K615" i="8"/>
  <c r="G611" i="8"/>
  <c r="G610" i="8"/>
  <c r="G606" i="8"/>
  <c r="G629" i="8"/>
  <c r="G616" i="8"/>
  <c r="G615" i="8"/>
  <c r="N555" i="8"/>
  <c r="J555" i="8"/>
  <c r="J611" i="8"/>
  <c r="J610" i="8"/>
  <c r="J606" i="8"/>
  <c r="J616" i="8"/>
  <c r="J615" i="8"/>
  <c r="F555" i="8"/>
  <c r="P544" i="8"/>
  <c r="P543" i="8"/>
  <c r="P539" i="8"/>
  <c r="P538" i="8"/>
  <c r="L544" i="8"/>
  <c r="L543" i="8"/>
  <c r="L539" i="8"/>
  <c r="L538" i="8"/>
  <c r="H544" i="8"/>
  <c r="H543" i="8"/>
  <c r="H539" i="8"/>
  <c r="H538" i="8"/>
  <c r="O552" i="8"/>
  <c r="L37" i="11" s="1"/>
  <c r="K552" i="8"/>
  <c r="G552" i="8"/>
  <c r="Q103" i="11" s="1"/>
  <c r="M539" i="8"/>
  <c r="M538" i="8"/>
  <c r="M544" i="8"/>
  <c r="M543" i="8"/>
  <c r="I539" i="8"/>
  <c r="I538" i="8"/>
  <c r="I544" i="8"/>
  <c r="I543" i="8"/>
  <c r="P552" i="8"/>
  <c r="Q37" i="11" s="1"/>
  <c r="L552" i="8"/>
  <c r="H552" i="8"/>
  <c r="E539" i="8"/>
  <c r="E538" i="8"/>
  <c r="E544" i="8"/>
  <c r="E543" i="8"/>
  <c r="E534" i="8"/>
  <c r="E552" i="8"/>
  <c r="G103" i="11" s="1"/>
  <c r="G12" i="20" s="1"/>
  <c r="N539" i="8"/>
  <c r="N538" i="8"/>
  <c r="N544" i="8"/>
  <c r="N543" i="8"/>
  <c r="F539" i="8"/>
  <c r="F538" i="8"/>
  <c r="F544" i="8"/>
  <c r="F543" i="8"/>
  <c r="M552" i="8"/>
  <c r="I552" i="8"/>
  <c r="O544" i="8"/>
  <c r="O543" i="8"/>
  <c r="O539" i="8"/>
  <c r="O538" i="8"/>
  <c r="K544" i="8"/>
  <c r="K543" i="8"/>
  <c r="K539" i="8"/>
  <c r="K538" i="8"/>
  <c r="G544" i="8"/>
  <c r="G543" i="8"/>
  <c r="G539" i="8"/>
  <c r="G538" i="8"/>
  <c r="N552" i="8"/>
  <c r="J539" i="8"/>
  <c r="J538" i="8"/>
  <c r="J552" i="8"/>
  <c r="J544" i="8"/>
  <c r="J543" i="8"/>
  <c r="F552" i="8"/>
  <c r="L103" i="11" s="1"/>
  <c r="I772" i="8"/>
  <c r="J768" i="8"/>
  <c r="I764" i="8"/>
  <c r="N764" i="8" s="1"/>
  <c r="J769" i="8"/>
  <c r="I765" i="8"/>
  <c r="I767" i="8"/>
  <c r="I771" i="8"/>
  <c r="N771" i="8" s="1"/>
  <c r="I763" i="8"/>
  <c r="I770" i="8"/>
  <c r="I762" i="8"/>
  <c r="J766" i="8"/>
  <c r="I769" i="8"/>
  <c r="N769" i="8" s="1"/>
  <c r="J761" i="8"/>
  <c r="J765" i="8"/>
  <c r="I768" i="8"/>
  <c r="N768" i="8" s="1"/>
  <c r="J772" i="8"/>
  <c r="J764" i="8"/>
  <c r="J771" i="8"/>
  <c r="J763" i="8"/>
  <c r="I766" i="8"/>
  <c r="J770" i="8"/>
  <c r="J762" i="8"/>
  <c r="J767" i="8"/>
  <c r="I761" i="8"/>
  <c r="N761" i="8" s="1"/>
  <c r="E778" i="8" s="1"/>
  <c r="K761" i="8"/>
  <c r="Q112" i="11" l="1"/>
  <c r="L46" i="11"/>
  <c r="L112" i="11"/>
  <c r="Q46" i="11"/>
  <c r="G112" i="11"/>
  <c r="G21" i="20" s="1"/>
  <c r="F639" i="8"/>
  <c r="L125" i="11" s="1"/>
  <c r="F711" i="8"/>
  <c r="F671" i="8"/>
  <c r="L132" i="11" s="1"/>
  <c r="F743" i="8"/>
  <c r="J668" i="8"/>
  <c r="J740" i="8"/>
  <c r="J675" i="8"/>
  <c r="J747" i="8"/>
  <c r="N671" i="8"/>
  <c r="N743" i="8"/>
  <c r="N639" i="8"/>
  <c r="N711" i="8"/>
  <c r="E626" i="8"/>
  <c r="G123" i="11" s="1"/>
  <c r="G32" i="20" s="1"/>
  <c r="E698" i="8"/>
  <c r="E614" i="8"/>
  <c r="E686" i="8"/>
  <c r="I662" i="8"/>
  <c r="I734" i="8"/>
  <c r="M666" i="8"/>
  <c r="M738" i="8"/>
  <c r="E659" i="8"/>
  <c r="E731" i="8"/>
  <c r="I639" i="8"/>
  <c r="I711" i="8"/>
  <c r="I632" i="8"/>
  <c r="I704" i="8"/>
  <c r="M668" i="8"/>
  <c r="M740" i="8"/>
  <c r="M635" i="8"/>
  <c r="M707" i="8"/>
  <c r="E675" i="8"/>
  <c r="G135" i="11" s="1"/>
  <c r="G44" i="20" s="1"/>
  <c r="E747" i="8"/>
  <c r="E668" i="8"/>
  <c r="E740" i="8"/>
  <c r="H650" i="8"/>
  <c r="H722" i="8"/>
  <c r="H662" i="8"/>
  <c r="H734" i="8"/>
  <c r="L650" i="8"/>
  <c r="L722" i="8"/>
  <c r="P658" i="8"/>
  <c r="P730" i="8"/>
  <c r="H631" i="8"/>
  <c r="H703" i="8"/>
  <c r="H635" i="8"/>
  <c r="H707" i="8"/>
  <c r="L632" i="8"/>
  <c r="L704" i="8"/>
  <c r="L639" i="8"/>
  <c r="L711" i="8"/>
  <c r="P635" i="8"/>
  <c r="Q56" i="11" s="1"/>
  <c r="P707" i="8"/>
  <c r="P631" i="8"/>
  <c r="P703" i="8"/>
  <c r="G666" i="8"/>
  <c r="G738" i="8"/>
  <c r="K658" i="8"/>
  <c r="K730" i="8"/>
  <c r="K662" i="8"/>
  <c r="K734" i="8"/>
  <c r="O650" i="8"/>
  <c r="O722" i="8"/>
  <c r="G632" i="8"/>
  <c r="G704" i="8"/>
  <c r="G667" i="8"/>
  <c r="G739" i="8"/>
  <c r="K668" i="8"/>
  <c r="K740" i="8"/>
  <c r="K631" i="8"/>
  <c r="K703" i="8"/>
  <c r="O667" i="8"/>
  <c r="O739" i="8"/>
  <c r="O639" i="8"/>
  <c r="L59" i="11" s="1"/>
  <c r="O711" i="8"/>
  <c r="F659" i="8"/>
  <c r="F731" i="8"/>
  <c r="J666" i="8"/>
  <c r="J738" i="8"/>
  <c r="N666" i="8"/>
  <c r="N738" i="8"/>
  <c r="N662" i="8"/>
  <c r="N734" i="8"/>
  <c r="F635" i="8"/>
  <c r="L122" i="11" s="1"/>
  <c r="F707" i="8"/>
  <c r="F631" i="8"/>
  <c r="F703" i="8"/>
  <c r="J667" i="8"/>
  <c r="J739" i="8"/>
  <c r="J632" i="8"/>
  <c r="J704" i="8"/>
  <c r="N631" i="8"/>
  <c r="N703" i="8"/>
  <c r="N635" i="8"/>
  <c r="N707" i="8"/>
  <c r="E630" i="8"/>
  <c r="E702" i="8"/>
  <c r="I659" i="8"/>
  <c r="I731" i="8"/>
  <c r="M658" i="8"/>
  <c r="M730" i="8"/>
  <c r="E666" i="8"/>
  <c r="E738" i="8"/>
  <c r="E658" i="8"/>
  <c r="G137" i="11" s="1"/>
  <c r="G46" i="20" s="1"/>
  <c r="E730" i="8"/>
  <c r="I671" i="8"/>
  <c r="I743" i="8"/>
  <c r="I631" i="8"/>
  <c r="I703" i="8"/>
  <c r="M675" i="8"/>
  <c r="M747" i="8"/>
  <c r="M667" i="8"/>
  <c r="M739" i="8"/>
  <c r="E632" i="8"/>
  <c r="E704" i="8"/>
  <c r="E639" i="8"/>
  <c r="G125" i="11" s="1"/>
  <c r="G34" i="20" s="1"/>
  <c r="E711" i="8"/>
  <c r="H659" i="8"/>
  <c r="H731" i="8"/>
  <c r="L666" i="8"/>
  <c r="L738" i="8"/>
  <c r="P662" i="8"/>
  <c r="P734" i="8"/>
  <c r="H668" i="8"/>
  <c r="H740" i="8"/>
  <c r="H675" i="8"/>
  <c r="H747" i="8"/>
  <c r="L671" i="8"/>
  <c r="L743" i="8"/>
  <c r="L667" i="8"/>
  <c r="L739" i="8"/>
  <c r="P675" i="8"/>
  <c r="Q69" i="11" s="1"/>
  <c r="P747" i="8"/>
  <c r="P668" i="8"/>
  <c r="P740" i="8"/>
  <c r="G659" i="8"/>
  <c r="G731" i="8"/>
  <c r="G650" i="8"/>
  <c r="Q131" i="11" s="1"/>
  <c r="G722" i="8"/>
  <c r="K666" i="8"/>
  <c r="K738" i="8"/>
  <c r="O658" i="8"/>
  <c r="O730" i="8"/>
  <c r="G675" i="8"/>
  <c r="Q135" i="11" s="1"/>
  <c r="G747" i="8"/>
  <c r="G631" i="8"/>
  <c r="Q126" i="11" s="1"/>
  <c r="G703" i="8"/>
  <c r="K632" i="8"/>
  <c r="K704" i="8"/>
  <c r="K675" i="8"/>
  <c r="K747" i="8"/>
  <c r="O631" i="8"/>
  <c r="O703" i="8"/>
  <c r="O635" i="8"/>
  <c r="L56" i="11" s="1"/>
  <c r="O707" i="8"/>
  <c r="F666" i="8"/>
  <c r="F738" i="8"/>
  <c r="J650" i="8"/>
  <c r="J722" i="8"/>
  <c r="J662" i="8"/>
  <c r="J734" i="8"/>
  <c r="N650" i="8"/>
  <c r="N722" i="8"/>
  <c r="N766" i="8"/>
  <c r="J778" i="8" s="1"/>
  <c r="E803" i="8" s="1"/>
  <c r="F675" i="8"/>
  <c r="L135" i="11" s="1"/>
  <c r="F747" i="8"/>
  <c r="F668" i="8"/>
  <c r="F740" i="8"/>
  <c r="J639" i="8"/>
  <c r="J711" i="8"/>
  <c r="J671" i="8"/>
  <c r="J743" i="8"/>
  <c r="N668" i="8"/>
  <c r="N740" i="8"/>
  <c r="N675" i="8"/>
  <c r="N747" i="8"/>
  <c r="E622" i="8"/>
  <c r="E694" i="8"/>
  <c r="I666" i="8"/>
  <c r="I738" i="8"/>
  <c r="M662" i="8"/>
  <c r="M734" i="8"/>
  <c r="M659" i="8"/>
  <c r="M731" i="8"/>
  <c r="E650" i="8"/>
  <c r="G131" i="11" s="1"/>
  <c r="G40" i="20" s="1"/>
  <c r="E722" i="8"/>
  <c r="I635" i="8"/>
  <c r="I707" i="8"/>
  <c r="I668" i="8"/>
  <c r="I740" i="8"/>
  <c r="M639" i="8"/>
  <c r="M711" i="8"/>
  <c r="M632" i="8"/>
  <c r="M704" i="8"/>
  <c r="E671" i="8"/>
  <c r="G132" i="11" s="1"/>
  <c r="G41" i="20" s="1"/>
  <c r="E743" i="8"/>
  <c r="E667" i="8"/>
  <c r="E739" i="8"/>
  <c r="H666" i="8"/>
  <c r="H738" i="8"/>
  <c r="L658" i="8"/>
  <c r="L730" i="8"/>
  <c r="P650" i="8"/>
  <c r="P722" i="8"/>
  <c r="P659" i="8"/>
  <c r="P731" i="8"/>
  <c r="H639" i="8"/>
  <c r="H711" i="8"/>
  <c r="H632" i="8"/>
  <c r="H704" i="8"/>
  <c r="L631" i="8"/>
  <c r="L703" i="8"/>
  <c r="L635" i="8"/>
  <c r="L707" i="8"/>
  <c r="P632" i="8"/>
  <c r="P704" i="8"/>
  <c r="P639" i="8"/>
  <c r="Q59" i="11" s="1"/>
  <c r="P711" i="8"/>
  <c r="G662" i="8"/>
  <c r="Q133" i="11" s="1"/>
  <c r="G734" i="8"/>
  <c r="K659" i="8"/>
  <c r="K731" i="8"/>
  <c r="O662" i="8"/>
  <c r="O734" i="8"/>
  <c r="G639" i="8"/>
  <c r="Q125" i="11" s="1"/>
  <c r="G711" i="8"/>
  <c r="G668" i="8"/>
  <c r="G740" i="8"/>
  <c r="K667" i="8"/>
  <c r="K739" i="8"/>
  <c r="K671" i="8"/>
  <c r="K743" i="8"/>
  <c r="O671" i="8"/>
  <c r="L66" i="11" s="1"/>
  <c r="O743" i="8"/>
  <c r="O632" i="8"/>
  <c r="O704" i="8"/>
  <c r="F658" i="8"/>
  <c r="F730" i="8"/>
  <c r="F650" i="8"/>
  <c r="L131" i="11" s="1"/>
  <c r="F722" i="8"/>
  <c r="J659" i="8"/>
  <c r="J731" i="8"/>
  <c r="N659" i="8"/>
  <c r="N731" i="8"/>
  <c r="F667" i="8"/>
  <c r="F739" i="8"/>
  <c r="F632" i="8"/>
  <c r="F704" i="8"/>
  <c r="J631" i="8"/>
  <c r="J703" i="8"/>
  <c r="J635" i="8"/>
  <c r="J707" i="8"/>
  <c r="N632" i="8"/>
  <c r="N704" i="8"/>
  <c r="N667" i="8"/>
  <c r="N739" i="8"/>
  <c r="E623" i="8"/>
  <c r="E695" i="8"/>
  <c r="I650" i="8"/>
  <c r="I722" i="8"/>
  <c r="I658" i="8"/>
  <c r="I730" i="8"/>
  <c r="M650" i="8"/>
  <c r="M722" i="8"/>
  <c r="E662" i="8"/>
  <c r="G133" i="11" s="1"/>
  <c r="G42" i="20" s="1"/>
  <c r="E734" i="8"/>
  <c r="I675" i="8"/>
  <c r="I747" i="8"/>
  <c r="I667" i="8"/>
  <c r="I739" i="8"/>
  <c r="M631" i="8"/>
  <c r="M703" i="8"/>
  <c r="M671" i="8"/>
  <c r="M743" i="8"/>
  <c r="E635" i="8"/>
  <c r="G122" i="11" s="1"/>
  <c r="G31" i="20" s="1"/>
  <c r="E707" i="8"/>
  <c r="E631" i="8"/>
  <c r="E703" i="8"/>
  <c r="H658" i="8"/>
  <c r="H730" i="8"/>
  <c r="L662" i="8"/>
  <c r="L734" i="8"/>
  <c r="L659" i="8"/>
  <c r="L731" i="8"/>
  <c r="P666" i="8"/>
  <c r="P738" i="8"/>
  <c r="H667" i="8"/>
  <c r="H739" i="8"/>
  <c r="H671" i="8"/>
  <c r="H743" i="8"/>
  <c r="L668" i="8"/>
  <c r="L740" i="8"/>
  <c r="L675" i="8"/>
  <c r="L747" i="8"/>
  <c r="P671" i="8"/>
  <c r="Q66" i="11" s="1"/>
  <c r="P743" i="8"/>
  <c r="P667" i="8"/>
  <c r="P739" i="8"/>
  <c r="G658" i="8"/>
  <c r="Q137" i="11" s="1"/>
  <c r="G730" i="8"/>
  <c r="K650" i="8"/>
  <c r="K722" i="8"/>
  <c r="O659" i="8"/>
  <c r="O731" i="8"/>
  <c r="O666" i="8"/>
  <c r="O738" i="8"/>
  <c r="G635" i="8"/>
  <c r="Q122" i="11" s="1"/>
  <c r="G707" i="8"/>
  <c r="G671" i="8"/>
  <c r="Q132" i="11" s="1"/>
  <c r="G743" i="8"/>
  <c r="K635" i="8"/>
  <c r="K707" i="8"/>
  <c r="K639" i="8"/>
  <c r="K711" i="8"/>
  <c r="O675" i="8"/>
  <c r="L69" i="11" s="1"/>
  <c r="O747" i="8"/>
  <c r="O668" i="8"/>
  <c r="O740" i="8"/>
  <c r="F662" i="8"/>
  <c r="L133" i="11" s="1"/>
  <c r="F734" i="8"/>
  <c r="J658" i="8"/>
  <c r="J730" i="8"/>
  <c r="N658" i="8"/>
  <c r="N730" i="8"/>
  <c r="I68" i="11"/>
  <c r="I165" i="9"/>
  <c r="Q108" i="11"/>
  <c r="I141" i="9"/>
  <c r="I44" i="11"/>
  <c r="I145" i="9"/>
  <c r="I48" i="11"/>
  <c r="I70" i="11"/>
  <c r="I167" i="9"/>
  <c r="I50" i="11"/>
  <c r="I147" i="9"/>
  <c r="I64" i="11"/>
  <c r="I161" i="9"/>
  <c r="L42" i="11"/>
  <c r="N762" i="8"/>
  <c r="N767" i="8"/>
  <c r="Q42" i="11"/>
  <c r="N763" i="8"/>
  <c r="G778" i="8" s="1"/>
  <c r="E800" i="8" s="1"/>
  <c r="L108" i="11"/>
  <c r="G108" i="11"/>
  <c r="G17" i="20" s="1"/>
  <c r="N770" i="8"/>
  <c r="N778" i="8" s="1"/>
  <c r="E807" i="8" s="1"/>
  <c r="N765" i="8"/>
  <c r="I778" i="8" s="1"/>
  <c r="E802" i="8" s="1"/>
  <c r="N772" i="8"/>
  <c r="O778" i="8"/>
  <c r="E808" i="8" s="1"/>
  <c r="H778" i="8"/>
  <c r="E801" i="8" s="1"/>
  <c r="K778" i="8"/>
  <c r="E804" i="8" s="1"/>
  <c r="P778" i="8"/>
  <c r="E809" i="8" s="1"/>
  <c r="M778" i="8"/>
  <c r="E806" i="8" s="1"/>
  <c r="L778" i="8"/>
  <c r="E805" i="8" s="1"/>
  <c r="F778" i="8"/>
  <c r="E799" i="8" s="1"/>
  <c r="E798" i="8"/>
  <c r="F171" i="8"/>
  <c r="F173" i="8"/>
  <c r="F175" i="8"/>
  <c r="F177" i="8"/>
  <c r="F180" i="8"/>
  <c r="F185" i="8"/>
  <c r="F187" i="8"/>
  <c r="F189" i="8"/>
  <c r="F190" i="8"/>
  <c r="F192" i="8"/>
  <c r="F193" i="8"/>
  <c r="F195" i="8"/>
  <c r="F196" i="8"/>
  <c r="F198" i="8"/>
  <c r="F199" i="8"/>
  <c r="F202" i="8"/>
  <c r="F203" i="8"/>
  <c r="F205" i="8"/>
  <c r="F207" i="8"/>
  <c r="F209" i="8"/>
  <c r="F214" i="8"/>
  <c r="F215" i="8"/>
  <c r="F217" i="8"/>
  <c r="F218" i="8"/>
  <c r="F219" i="8"/>
  <c r="F223" i="8"/>
  <c r="F224" i="8"/>
  <c r="F225" i="8"/>
  <c r="F168" i="8"/>
  <c r="F170" i="8" s="1"/>
  <c r="I170" i="8" s="1"/>
  <c r="E168" i="8"/>
  <c r="D52" i="6"/>
  <c r="D51" i="6"/>
  <c r="D47" i="6"/>
  <c r="D42" i="6"/>
  <c r="D43" i="6"/>
  <c r="D44" i="6"/>
  <c r="D45" i="6"/>
  <c r="D46" i="6"/>
  <c r="D41" i="6"/>
  <c r="L137" i="11" l="1"/>
  <c r="L71" i="11"/>
  <c r="G136" i="11"/>
  <c r="G45" i="20" s="1"/>
  <c r="L126" i="11"/>
  <c r="Q60" i="11"/>
  <c r="Q71" i="11"/>
  <c r="L136" i="11"/>
  <c r="L60" i="11"/>
  <c r="G126" i="11"/>
  <c r="G35" i="20" s="1"/>
  <c r="Q136" i="11"/>
  <c r="L70" i="11"/>
  <c r="Q70" i="11"/>
  <c r="G127" i="11"/>
  <c r="G36" i="20" s="1"/>
  <c r="G49" i="6"/>
  <c r="E96" i="9" s="1"/>
  <c r="H96" i="9" s="1"/>
  <c r="G48" i="6"/>
  <c r="E95" i="9" s="1"/>
  <c r="H95" i="9" s="1"/>
  <c r="H536" i="8"/>
  <c r="J536" i="8"/>
  <c r="I536" i="8"/>
  <c r="O536" i="8"/>
  <c r="F536" i="8"/>
  <c r="E536" i="8"/>
  <c r="P536" i="8"/>
  <c r="K536" i="8"/>
  <c r="L536" i="8"/>
  <c r="G536" i="8"/>
  <c r="N536" i="8"/>
  <c r="M536" i="8"/>
  <c r="I140" i="1"/>
  <c r="N301" i="9" l="1"/>
  <c r="O301" i="9" s="1"/>
  <c r="E205" i="9"/>
  <c r="F205" i="9" s="1"/>
  <c r="K301" i="9"/>
  <c r="L301" i="9" s="1"/>
  <c r="E301" i="9"/>
  <c r="F301" i="9" s="1"/>
  <c r="H205" i="9"/>
  <c r="I205" i="9" s="1"/>
  <c r="H301" i="9"/>
  <c r="I301" i="9" s="1"/>
  <c r="K205" i="9"/>
  <c r="L205" i="9" s="1"/>
  <c r="E55" i="6"/>
  <c r="G55" i="6" s="1"/>
  <c r="E56" i="6"/>
  <c r="G56" i="6" s="1"/>
  <c r="E103" i="9" s="1"/>
  <c r="H103" i="9" s="1"/>
  <c r="E54" i="6"/>
  <c r="G54" i="6" s="1"/>
  <c r="G158" i="3"/>
  <c r="I158" i="3" s="1"/>
  <c r="G148" i="3"/>
  <c r="I148" i="3" s="1"/>
  <c r="G133" i="3"/>
  <c r="I133" i="3" s="1"/>
  <c r="G124" i="3"/>
  <c r="G160" i="3"/>
  <c r="I160" i="3" s="1"/>
  <c r="G151" i="3"/>
  <c r="I151" i="3" s="1"/>
  <c r="G136" i="3"/>
  <c r="I136" i="3" s="1"/>
  <c r="G126" i="3"/>
  <c r="G263" i="8" s="1"/>
  <c r="I263" i="8" s="1"/>
  <c r="G114" i="3"/>
  <c r="G163" i="3"/>
  <c r="I163" i="3" s="1"/>
  <c r="G153" i="3"/>
  <c r="I153" i="3" s="1"/>
  <c r="G141" i="3"/>
  <c r="I141" i="3" s="1"/>
  <c r="G128" i="3"/>
  <c r="G155" i="3"/>
  <c r="I155" i="3" s="1"/>
  <c r="G144" i="3"/>
  <c r="I144" i="3" s="1"/>
  <c r="G131" i="3"/>
  <c r="G121" i="3"/>
  <c r="K300" i="9"/>
  <c r="L300" i="9" s="1"/>
  <c r="E300" i="9"/>
  <c r="F300" i="9" s="1"/>
  <c r="K204" i="9"/>
  <c r="L204" i="9" s="1"/>
  <c r="H300" i="9"/>
  <c r="I300" i="9" s="1"/>
  <c r="E204" i="9"/>
  <c r="F204" i="9" s="1"/>
  <c r="N300" i="9"/>
  <c r="O300" i="9" s="1"/>
  <c r="H204" i="9"/>
  <c r="I204" i="9" s="1"/>
  <c r="G264" i="8"/>
  <c r="I264" i="8" s="1"/>
  <c r="G266" i="8"/>
  <c r="I266" i="8" s="1"/>
  <c r="G267" i="8"/>
  <c r="I267" i="8" s="1"/>
  <c r="G252" i="8"/>
  <c r="I252" i="8" s="1"/>
  <c r="G269" i="8"/>
  <c r="I269" i="8" s="1"/>
  <c r="G262" i="8"/>
  <c r="I262" i="8" s="1"/>
  <c r="G86" i="3"/>
  <c r="I86" i="3" s="1"/>
  <c r="J86" i="3" s="1"/>
  <c r="D208" i="3" s="1"/>
  <c r="E208" i="3" s="1"/>
  <c r="F208" i="3" s="1"/>
  <c r="D493" i="3" s="1"/>
  <c r="F493" i="3" s="1"/>
  <c r="D51" i="9" s="1"/>
  <c r="H51" i="9" s="1"/>
  <c r="G60" i="3"/>
  <c r="I60" i="3" s="1"/>
  <c r="J60" i="3" s="1"/>
  <c r="D198" i="3" s="1"/>
  <c r="E198" i="3" s="1"/>
  <c r="F198" i="3" s="1"/>
  <c r="D483" i="3" s="1"/>
  <c r="F483" i="3" s="1"/>
  <c r="D41" i="9" s="1"/>
  <c r="H41" i="9" s="1"/>
  <c r="G103" i="3"/>
  <c r="I103" i="3" s="1"/>
  <c r="J103" i="3" s="1"/>
  <c r="D218" i="3" s="1"/>
  <c r="E218" i="3" s="1"/>
  <c r="F218" i="3" s="1"/>
  <c r="D503" i="3" s="1"/>
  <c r="F503" i="3" s="1"/>
  <c r="D61" i="9" s="1"/>
  <c r="H61" i="9" s="1"/>
  <c r="G33" i="3"/>
  <c r="I33" i="3" s="1"/>
  <c r="J33" i="3" s="1"/>
  <c r="D188" i="3" s="1"/>
  <c r="E188" i="3" s="1"/>
  <c r="F188" i="3" s="1"/>
  <c r="D473" i="3" s="1"/>
  <c r="F473" i="3" s="1"/>
  <c r="D31" i="9" s="1"/>
  <c r="H31" i="9" s="1"/>
  <c r="G137" i="3"/>
  <c r="I137" i="3" s="1"/>
  <c r="J137" i="3" s="1"/>
  <c r="D228" i="3" s="1"/>
  <c r="E228" i="3" s="1"/>
  <c r="F228" i="3" s="1"/>
  <c r="D513" i="3" s="1"/>
  <c r="F513" i="3" s="1"/>
  <c r="D71" i="9" s="1"/>
  <c r="H71" i="9" s="1"/>
  <c r="G164" i="3"/>
  <c r="I164" i="3" s="1"/>
  <c r="J164" i="3" s="1"/>
  <c r="D238" i="3" s="1"/>
  <c r="E238" i="3" s="1"/>
  <c r="F238" i="3" s="1"/>
  <c r="D523" i="3" s="1"/>
  <c r="F523" i="3" s="1"/>
  <c r="D81" i="9" s="1"/>
  <c r="H81" i="9" s="1"/>
  <c r="G149" i="3"/>
  <c r="G123" i="3"/>
  <c r="G260" i="8" s="1"/>
  <c r="I260" i="8" s="1"/>
  <c r="G102" i="3"/>
  <c r="G91" i="3"/>
  <c r="G78" i="3"/>
  <c r="G225" i="8" s="1"/>
  <c r="I225" i="8" s="1"/>
  <c r="G46" i="3"/>
  <c r="G31" i="3"/>
  <c r="G150" i="3"/>
  <c r="G135" i="3"/>
  <c r="G118" i="3"/>
  <c r="G255" i="8" s="1"/>
  <c r="I255" i="8" s="1"/>
  <c r="G93" i="3"/>
  <c r="G74" i="3"/>
  <c r="G221" i="8" s="1"/>
  <c r="G58" i="3"/>
  <c r="G41" i="3"/>
  <c r="G14" i="3"/>
  <c r="G162" i="3"/>
  <c r="G145" i="3"/>
  <c r="G120" i="3"/>
  <c r="G257" i="8" s="1"/>
  <c r="I257" i="8" s="1"/>
  <c r="G94" i="3"/>
  <c r="G76" i="3"/>
  <c r="G223" i="8" s="1"/>
  <c r="I223" i="8" s="1"/>
  <c r="G43" i="3"/>
  <c r="G16" i="3"/>
  <c r="G175" i="8" s="1"/>
  <c r="G147" i="3"/>
  <c r="G122" i="3"/>
  <c r="G259" i="8" s="1"/>
  <c r="I259" i="8" s="1"/>
  <c r="G95" i="3"/>
  <c r="G85" i="3"/>
  <c r="G232" i="8" s="1"/>
  <c r="I232" i="8" s="1"/>
  <c r="G77" i="3"/>
  <c r="G224" i="8" s="1"/>
  <c r="G19" i="3"/>
  <c r="G178" i="8" s="1"/>
  <c r="G45" i="3"/>
  <c r="G18" i="3"/>
  <c r="G177" i="8" s="1"/>
  <c r="F12" i="6"/>
  <c r="E52" i="6"/>
  <c r="G52" i="6" s="1"/>
  <c r="E99" i="9" s="1"/>
  <c r="H99" i="9" s="1"/>
  <c r="E51" i="6"/>
  <c r="I219" i="8"/>
  <c r="I131" i="3"/>
  <c r="I128" i="3"/>
  <c r="I218" i="8"/>
  <c r="I217" i="8"/>
  <c r="I207" i="8"/>
  <c r="G250" i="8"/>
  <c r="I250" i="8" s="1"/>
  <c r="I214" i="8"/>
  <c r="I119" i="3"/>
  <c r="I115" i="3"/>
  <c r="G249" i="8"/>
  <c r="I249" i="8" s="1"/>
  <c r="G117" i="3"/>
  <c r="I117" i="3" s="1"/>
  <c r="I180" i="8"/>
  <c r="H548" i="8" s="1"/>
  <c r="G173" i="8"/>
  <c r="I173" i="8" s="1"/>
  <c r="E102" i="9"/>
  <c r="H102" i="9" s="1"/>
  <c r="E104" i="9"/>
  <c r="H104" i="9" s="1"/>
  <c r="E100" i="9"/>
  <c r="H100" i="9" s="1"/>
  <c r="E101" i="9"/>
  <c r="H101" i="9" s="1"/>
  <c r="G47" i="6"/>
  <c r="E94" i="9" s="1"/>
  <c r="H94" i="9" s="1"/>
  <c r="G44" i="6"/>
  <c r="E91" i="9" s="1"/>
  <c r="H91" i="9" s="1"/>
  <c r="G43" i="6"/>
  <c r="E90" i="9" s="1"/>
  <c r="H90" i="9" s="1"/>
  <c r="G40" i="6"/>
  <c r="H13" i="6"/>
  <c r="E85" i="9" s="1"/>
  <c r="H85" i="9" s="1"/>
  <c r="H11" i="6"/>
  <c r="E83" i="9" s="1"/>
  <c r="H83" i="9" s="1"/>
  <c r="G190" i="8" l="1"/>
  <c r="I31" i="3"/>
  <c r="J30" i="3" s="1"/>
  <c r="D187" i="3" s="1"/>
  <c r="N305" i="9"/>
  <c r="O305" i="9" s="1"/>
  <c r="K305" i="9"/>
  <c r="L305" i="9" s="1"/>
  <c r="H305" i="9"/>
  <c r="I305" i="9" s="1"/>
  <c r="E305" i="9"/>
  <c r="F305" i="9" s="1"/>
  <c r="K209" i="9"/>
  <c r="L209" i="9" s="1"/>
  <c r="H209" i="9"/>
  <c r="I209" i="9" s="1"/>
  <c r="E209" i="9"/>
  <c r="F209" i="9" s="1"/>
  <c r="N309" i="9"/>
  <c r="O309" i="9" s="1"/>
  <c r="K309" i="9"/>
  <c r="L309" i="9" s="1"/>
  <c r="H309" i="9"/>
  <c r="I309" i="9" s="1"/>
  <c r="E309" i="9"/>
  <c r="F309" i="9" s="1"/>
  <c r="K213" i="9"/>
  <c r="L213" i="9" s="1"/>
  <c r="H213" i="9"/>
  <c r="I213" i="9" s="1"/>
  <c r="E213" i="9"/>
  <c r="F213" i="9" s="1"/>
  <c r="I129" i="3"/>
  <c r="I127" i="3"/>
  <c r="J127" i="3" s="1"/>
  <c r="D224" i="3" s="1"/>
  <c r="E224" i="3" s="1"/>
  <c r="I118" i="3"/>
  <c r="I123" i="3"/>
  <c r="G297" i="8"/>
  <c r="I297" i="8" s="1"/>
  <c r="I162" i="3"/>
  <c r="G285" i="8"/>
  <c r="I285" i="8" s="1"/>
  <c r="I150" i="3"/>
  <c r="G237" i="8"/>
  <c r="I237" i="8" s="1"/>
  <c r="I91" i="3"/>
  <c r="J89" i="3" s="1"/>
  <c r="D210" i="3" s="1"/>
  <c r="E210" i="3" s="1"/>
  <c r="F210" i="3" s="1"/>
  <c r="H286" i="9"/>
  <c r="I286" i="9" s="1"/>
  <c r="I159" i="11" s="1"/>
  <c r="N286" i="9"/>
  <c r="O286" i="9" s="1"/>
  <c r="E190" i="9"/>
  <c r="F190" i="9" s="1"/>
  <c r="K286" i="9"/>
  <c r="L286" i="9" s="1"/>
  <c r="N159" i="11" s="1"/>
  <c r="H190" i="9"/>
  <c r="E286" i="9"/>
  <c r="F286" i="9" s="1"/>
  <c r="D159" i="11" s="1"/>
  <c r="D68" i="20" s="1"/>
  <c r="K190" i="9"/>
  <c r="L190" i="9" s="1"/>
  <c r="N93" i="11" s="1"/>
  <c r="K246" i="9"/>
  <c r="L246" i="9" s="1"/>
  <c r="N119" i="11" s="1"/>
  <c r="H150" i="9"/>
  <c r="E246" i="9"/>
  <c r="F246" i="9" s="1"/>
  <c r="D119" i="11" s="1"/>
  <c r="D28" i="20" s="1"/>
  <c r="K150" i="9"/>
  <c r="L150" i="9" s="1"/>
  <c r="N53" i="11" s="1"/>
  <c r="H246" i="9"/>
  <c r="I246" i="9" s="1"/>
  <c r="I119" i="11" s="1"/>
  <c r="N246" i="9"/>
  <c r="O246" i="9" s="1"/>
  <c r="E150" i="9"/>
  <c r="F150" i="9" s="1"/>
  <c r="G277" i="8"/>
  <c r="I277" i="8" s="1"/>
  <c r="I142" i="3"/>
  <c r="G275" i="8"/>
  <c r="I275" i="8" s="1"/>
  <c r="I140" i="3"/>
  <c r="G274" i="8"/>
  <c r="I274" i="8" s="1"/>
  <c r="I139" i="3"/>
  <c r="G271" i="8"/>
  <c r="I271" i="8" s="1"/>
  <c r="I134" i="3"/>
  <c r="G202" i="8"/>
  <c r="I45" i="3"/>
  <c r="G241" i="8"/>
  <c r="I241" i="8" s="1"/>
  <c r="I95" i="3"/>
  <c r="G200" i="8"/>
  <c r="I43" i="3"/>
  <c r="J43" i="3" s="1"/>
  <c r="D191" i="3" s="1"/>
  <c r="E191" i="3" s="1"/>
  <c r="F191" i="3" s="1"/>
  <c r="D476" i="3" s="1"/>
  <c r="F476" i="3" s="1"/>
  <c r="D34" i="9" s="1"/>
  <c r="H34" i="9" s="1"/>
  <c r="G280" i="8"/>
  <c r="I280" i="8" s="1"/>
  <c r="I145" i="3"/>
  <c r="G215" i="8"/>
  <c r="I215" i="8" s="1"/>
  <c r="I58" i="3"/>
  <c r="J57" i="3" s="1"/>
  <c r="D197" i="3" s="1"/>
  <c r="E197" i="3" s="1"/>
  <c r="F197" i="3" s="1"/>
  <c r="D482" i="3" s="1"/>
  <c r="G272" i="8"/>
  <c r="I272" i="8" s="1"/>
  <c r="I135" i="3"/>
  <c r="G284" i="8"/>
  <c r="I284" i="8" s="1"/>
  <c r="I149" i="3"/>
  <c r="J149" i="3" s="1"/>
  <c r="D232" i="3" s="1"/>
  <c r="E232" i="3" s="1"/>
  <c r="F232" i="3" s="1"/>
  <c r="D517" i="3" s="1"/>
  <c r="F517" i="3" s="1"/>
  <c r="D75" i="9" s="1"/>
  <c r="H75" i="9" s="1"/>
  <c r="N266" i="9"/>
  <c r="O266" i="9" s="1"/>
  <c r="E170" i="9"/>
  <c r="F170" i="9" s="1"/>
  <c r="K266" i="9"/>
  <c r="L266" i="9" s="1"/>
  <c r="N139" i="11" s="1"/>
  <c r="H170" i="9"/>
  <c r="E266" i="9"/>
  <c r="F266" i="9" s="1"/>
  <c r="D139" i="11" s="1"/>
  <c r="D48" i="20" s="1"/>
  <c r="K170" i="9"/>
  <c r="L170" i="9" s="1"/>
  <c r="N73" i="11" s="1"/>
  <c r="H266" i="9"/>
  <c r="I266" i="9" s="1"/>
  <c r="I139" i="11" s="1"/>
  <c r="H705" i="8"/>
  <c r="N705" i="8"/>
  <c r="O705" i="8"/>
  <c r="L76" i="11" s="1"/>
  <c r="J705" i="8"/>
  <c r="K705" i="8"/>
  <c r="P705" i="8"/>
  <c r="Q76" i="11" s="1"/>
  <c r="M705" i="8"/>
  <c r="F705" i="8"/>
  <c r="L142" i="11" s="1"/>
  <c r="G705" i="8"/>
  <c r="Q142" i="11" s="1"/>
  <c r="E705" i="8"/>
  <c r="G142" i="11" s="1"/>
  <c r="G51" i="20" s="1"/>
  <c r="L705" i="8"/>
  <c r="I705" i="8"/>
  <c r="J700" i="8"/>
  <c r="G700" i="8"/>
  <c r="E700" i="8"/>
  <c r="P700" i="8"/>
  <c r="M700" i="8"/>
  <c r="F700" i="8"/>
  <c r="L700" i="8"/>
  <c r="I700" i="8"/>
  <c r="O700" i="8"/>
  <c r="H700" i="8"/>
  <c r="N700" i="8"/>
  <c r="K700" i="8"/>
  <c r="N699" i="8"/>
  <c r="F699" i="8"/>
  <c r="L146" i="11" s="1"/>
  <c r="E699" i="8"/>
  <c r="G146" i="11" s="1"/>
  <c r="G55" i="20" s="1"/>
  <c r="O699" i="8"/>
  <c r="G699" i="8"/>
  <c r="Q146" i="11" s="1"/>
  <c r="P699" i="8"/>
  <c r="H699" i="8"/>
  <c r="I699" i="8"/>
  <c r="J699" i="8"/>
  <c r="K699" i="8"/>
  <c r="L699" i="8"/>
  <c r="M699" i="8"/>
  <c r="K696" i="8"/>
  <c r="L696" i="8"/>
  <c r="I696" i="8"/>
  <c r="J696" i="8"/>
  <c r="O696" i="8"/>
  <c r="G696" i="8"/>
  <c r="Q143" i="11" s="1"/>
  <c r="P696" i="8"/>
  <c r="H696" i="8"/>
  <c r="M696" i="8"/>
  <c r="E696" i="8"/>
  <c r="G143" i="11" s="1"/>
  <c r="G52" i="20" s="1"/>
  <c r="N696" i="8"/>
  <c r="F696" i="8"/>
  <c r="L143" i="11" s="1"/>
  <c r="G198" i="8"/>
  <c r="I41" i="3"/>
  <c r="J38" i="3" s="1"/>
  <c r="D190" i="3" s="1"/>
  <c r="E190" i="3" s="1"/>
  <c r="F190" i="3" s="1"/>
  <c r="G203" i="8"/>
  <c r="I46" i="3"/>
  <c r="N236" i="9"/>
  <c r="O236" i="9" s="1"/>
  <c r="K236" i="9"/>
  <c r="L236" i="9" s="1"/>
  <c r="N109" i="11" s="1"/>
  <c r="E236" i="9"/>
  <c r="F236" i="9" s="1"/>
  <c r="D109" i="11" s="1"/>
  <c r="D18" i="20" s="1"/>
  <c r="K140" i="9"/>
  <c r="L140" i="9" s="1"/>
  <c r="N43" i="11" s="1"/>
  <c r="E140" i="9"/>
  <c r="F140" i="9" s="1"/>
  <c r="H236" i="9"/>
  <c r="I236" i="9" s="1"/>
  <c r="I109" i="11" s="1"/>
  <c r="H140" i="9"/>
  <c r="E692" i="8"/>
  <c r="G147" i="11" s="1"/>
  <c r="G56" i="20" s="1"/>
  <c r="G692" i="8"/>
  <c r="Q147" i="11" s="1"/>
  <c r="M692" i="8"/>
  <c r="F692" i="8"/>
  <c r="L147" i="11" s="1"/>
  <c r="K692" i="8"/>
  <c r="H692" i="8"/>
  <c r="J692" i="8"/>
  <c r="O692" i="8"/>
  <c r="L81" i="11" s="1"/>
  <c r="L692" i="8"/>
  <c r="N692" i="8"/>
  <c r="P692" i="8"/>
  <c r="Q81" i="11" s="1"/>
  <c r="I692" i="8"/>
  <c r="H680" i="8"/>
  <c r="J680" i="8"/>
  <c r="L680" i="8"/>
  <c r="O680" i="8"/>
  <c r="F680" i="8"/>
  <c r="E680" i="8"/>
  <c r="I680" i="8"/>
  <c r="K680" i="8"/>
  <c r="M680" i="8"/>
  <c r="N680" i="8"/>
  <c r="P680" i="8"/>
  <c r="G680" i="8"/>
  <c r="G296" i="8"/>
  <c r="I296" i="8" s="1"/>
  <c r="I161" i="3"/>
  <c r="J161" i="3" s="1"/>
  <c r="G294" i="8"/>
  <c r="I294" i="8" s="1"/>
  <c r="I159" i="3"/>
  <c r="J159" i="3" s="1"/>
  <c r="D236" i="3" s="1"/>
  <c r="E236" i="3" s="1"/>
  <c r="F236" i="3" s="1"/>
  <c r="D521" i="3" s="1"/>
  <c r="G292" i="8"/>
  <c r="I292" i="8" s="1"/>
  <c r="I157" i="3"/>
  <c r="G282" i="8"/>
  <c r="I282" i="8" s="1"/>
  <c r="I147" i="3"/>
  <c r="J147" i="3" s="1"/>
  <c r="D231" i="3" s="1"/>
  <c r="E231" i="3" s="1"/>
  <c r="F231" i="3" s="1"/>
  <c r="D516" i="3" s="1"/>
  <c r="F516" i="3" s="1"/>
  <c r="D74" i="9" s="1"/>
  <c r="H74" i="9" s="1"/>
  <c r="G240" i="8"/>
  <c r="I240" i="8" s="1"/>
  <c r="I94" i="3"/>
  <c r="J94" i="3" s="1"/>
  <c r="D212" i="3" s="1"/>
  <c r="E212" i="3" s="1"/>
  <c r="F212" i="3" s="1"/>
  <c r="D497" i="3" s="1"/>
  <c r="F497" i="3" s="1"/>
  <c r="D55" i="9" s="1"/>
  <c r="H55" i="9" s="1"/>
  <c r="G239" i="8"/>
  <c r="I239" i="8" s="1"/>
  <c r="I93" i="3"/>
  <c r="J93" i="3" s="1"/>
  <c r="D211" i="3" s="1"/>
  <c r="E211" i="3" s="1"/>
  <c r="F211" i="3" s="1"/>
  <c r="D496" i="3" s="1"/>
  <c r="F496" i="3" s="1"/>
  <c r="D54" i="9" s="1"/>
  <c r="H54" i="9" s="1"/>
  <c r="G248" i="8"/>
  <c r="I248" i="8" s="1"/>
  <c r="I102" i="3"/>
  <c r="J101" i="3" s="1"/>
  <c r="D217" i="3" s="1"/>
  <c r="E217" i="3" s="1"/>
  <c r="F217" i="3" s="1"/>
  <c r="D502" i="3" s="1"/>
  <c r="K180" i="9"/>
  <c r="L180" i="9" s="1"/>
  <c r="N83" i="11" s="1"/>
  <c r="E180" i="9"/>
  <c r="F180" i="9" s="1"/>
  <c r="H276" i="9"/>
  <c r="I276" i="9" s="1"/>
  <c r="I149" i="11" s="1"/>
  <c r="H180" i="9"/>
  <c r="N276" i="9"/>
  <c r="O276" i="9" s="1"/>
  <c r="K276" i="9"/>
  <c r="L276" i="9" s="1"/>
  <c r="N149" i="11" s="1"/>
  <c r="E276" i="9"/>
  <c r="F276" i="9" s="1"/>
  <c r="D149" i="11" s="1"/>
  <c r="D58" i="20" s="1"/>
  <c r="E256" i="9"/>
  <c r="F256" i="9" s="1"/>
  <c r="D129" i="11" s="1"/>
  <c r="D38" i="20" s="1"/>
  <c r="K160" i="9"/>
  <c r="L160" i="9" s="1"/>
  <c r="N63" i="11" s="1"/>
  <c r="E160" i="9"/>
  <c r="F160" i="9" s="1"/>
  <c r="H256" i="9"/>
  <c r="I256" i="9" s="1"/>
  <c r="I129" i="11" s="1"/>
  <c r="H160" i="9"/>
  <c r="N256" i="9"/>
  <c r="O256" i="9" s="1"/>
  <c r="K256" i="9"/>
  <c r="L256" i="9" s="1"/>
  <c r="N129" i="11" s="1"/>
  <c r="G291" i="8"/>
  <c r="I291" i="8" s="1"/>
  <c r="I156" i="3"/>
  <c r="J156" i="3" s="1"/>
  <c r="D235" i="3" s="1"/>
  <c r="E235" i="3" s="1"/>
  <c r="F235" i="3" s="1"/>
  <c r="D520" i="3" s="1"/>
  <c r="F520" i="3" s="1"/>
  <c r="D78" i="9" s="1"/>
  <c r="H78" i="9" s="1"/>
  <c r="G289" i="8"/>
  <c r="I289" i="8" s="1"/>
  <c r="I154" i="3"/>
  <c r="J154" i="3" s="1"/>
  <c r="D234" i="3" s="1"/>
  <c r="E234" i="3" s="1"/>
  <c r="F234" i="3" s="1"/>
  <c r="D519" i="3" s="1"/>
  <c r="G287" i="8"/>
  <c r="I287" i="8" s="1"/>
  <c r="I152" i="3"/>
  <c r="J152" i="3" s="1"/>
  <c r="D233" i="3" s="1"/>
  <c r="E233" i="3" s="1"/>
  <c r="F233" i="3" s="1"/>
  <c r="D518" i="3" s="1"/>
  <c r="F518" i="3" s="1"/>
  <c r="D76" i="9" s="1"/>
  <c r="H76" i="9" s="1"/>
  <c r="G278" i="8"/>
  <c r="I278" i="8" s="1"/>
  <c r="I143" i="3"/>
  <c r="K299" i="9"/>
  <c r="L299" i="9" s="1"/>
  <c r="N299" i="9"/>
  <c r="O299" i="9" s="1"/>
  <c r="H299" i="9"/>
  <c r="I299" i="9" s="1"/>
  <c r="E299" i="9"/>
  <c r="F299" i="9" s="1"/>
  <c r="K203" i="9"/>
  <c r="L203" i="9" s="1"/>
  <c r="E203" i="9"/>
  <c r="F203" i="9" s="1"/>
  <c r="H203" i="9"/>
  <c r="I203" i="9" s="1"/>
  <c r="N304" i="9"/>
  <c r="O304" i="9" s="1"/>
  <c r="H304" i="9"/>
  <c r="I304" i="9" s="1"/>
  <c r="E304" i="9"/>
  <c r="F304" i="9" s="1"/>
  <c r="K304" i="9"/>
  <c r="L304" i="9" s="1"/>
  <c r="H208" i="9"/>
  <c r="I208" i="9" s="1"/>
  <c r="E208" i="9"/>
  <c r="F208" i="9" s="1"/>
  <c r="K208" i="9"/>
  <c r="L208" i="9" s="1"/>
  <c r="N288" i="9"/>
  <c r="O288" i="9" s="1"/>
  <c r="H288" i="9"/>
  <c r="I288" i="9" s="1"/>
  <c r="K192" i="9"/>
  <c r="L192" i="9" s="1"/>
  <c r="E288" i="9"/>
  <c r="F288" i="9" s="1"/>
  <c r="K288" i="9"/>
  <c r="L288" i="9" s="1"/>
  <c r="H192" i="9"/>
  <c r="I192" i="9" s="1"/>
  <c r="E192" i="9"/>
  <c r="F192" i="9" s="1"/>
  <c r="K295" i="9"/>
  <c r="L295" i="9" s="1"/>
  <c r="N295" i="9"/>
  <c r="O295" i="9" s="1"/>
  <c r="H295" i="9"/>
  <c r="I295" i="9" s="1"/>
  <c r="E295" i="9"/>
  <c r="F295" i="9" s="1"/>
  <c r="H199" i="9"/>
  <c r="I199" i="9" s="1"/>
  <c r="E199" i="9"/>
  <c r="F199" i="9" s="1"/>
  <c r="K199" i="9"/>
  <c r="L199" i="9" s="1"/>
  <c r="K307" i="9"/>
  <c r="L307" i="9" s="1"/>
  <c r="N307" i="9"/>
  <c r="O307" i="9" s="1"/>
  <c r="H307" i="9"/>
  <c r="I307" i="9" s="1"/>
  <c r="E307" i="9"/>
  <c r="F307" i="9" s="1"/>
  <c r="K211" i="9"/>
  <c r="L211" i="9" s="1"/>
  <c r="E211" i="9"/>
  <c r="F211" i="9" s="1"/>
  <c r="H211" i="9"/>
  <c r="I211" i="9" s="1"/>
  <c r="E290" i="9"/>
  <c r="F290" i="9" s="1"/>
  <c r="K290" i="9"/>
  <c r="L290" i="9" s="1"/>
  <c r="N290" i="9"/>
  <c r="O290" i="9" s="1"/>
  <c r="H290" i="9"/>
  <c r="I290" i="9" s="1"/>
  <c r="H194" i="9"/>
  <c r="I194" i="9" s="1"/>
  <c r="K194" i="9"/>
  <c r="L194" i="9" s="1"/>
  <c r="E194" i="9"/>
  <c r="F194" i="9" s="1"/>
  <c r="N296" i="9"/>
  <c r="O296" i="9" s="1"/>
  <c r="H296" i="9"/>
  <c r="I296" i="9" s="1"/>
  <c r="K200" i="9"/>
  <c r="L200" i="9" s="1"/>
  <c r="E296" i="9"/>
  <c r="F296" i="9" s="1"/>
  <c r="K296" i="9"/>
  <c r="L296" i="9" s="1"/>
  <c r="H200" i="9"/>
  <c r="I200" i="9" s="1"/>
  <c r="E200" i="9"/>
  <c r="F200" i="9" s="1"/>
  <c r="E306" i="9"/>
  <c r="F306" i="9" s="1"/>
  <c r="K306" i="9"/>
  <c r="L306" i="9" s="1"/>
  <c r="N306" i="9"/>
  <c r="O306" i="9" s="1"/>
  <c r="H306" i="9"/>
  <c r="I306" i="9" s="1"/>
  <c r="K210" i="9"/>
  <c r="L210" i="9" s="1"/>
  <c r="H210" i="9"/>
  <c r="I210" i="9" s="1"/>
  <c r="E210" i="9"/>
  <c r="F210" i="9" s="1"/>
  <c r="N308" i="9"/>
  <c r="O308" i="9" s="1"/>
  <c r="H308" i="9"/>
  <c r="I308" i="9" s="1"/>
  <c r="E308" i="9"/>
  <c r="F308" i="9" s="1"/>
  <c r="K308" i="9"/>
  <c r="L308" i="9" s="1"/>
  <c r="H212" i="9"/>
  <c r="I212" i="9" s="1"/>
  <c r="E212" i="9"/>
  <c r="F212" i="9" s="1"/>
  <c r="K212" i="9"/>
  <c r="L212" i="9" s="1"/>
  <c r="O605" i="8"/>
  <c r="J605" i="8"/>
  <c r="E605" i="8"/>
  <c r="P605" i="8"/>
  <c r="K605" i="8"/>
  <c r="F605" i="8"/>
  <c r="L605" i="8"/>
  <c r="G605" i="8"/>
  <c r="M605" i="8"/>
  <c r="H605" i="8"/>
  <c r="N605" i="8"/>
  <c r="I605" i="8"/>
  <c r="O677" i="8"/>
  <c r="J677" i="8"/>
  <c r="P677" i="8"/>
  <c r="K677" i="8"/>
  <c r="F677" i="8"/>
  <c r="L677" i="8"/>
  <c r="G677" i="8"/>
  <c r="M677" i="8"/>
  <c r="E677" i="8"/>
  <c r="H677" i="8"/>
  <c r="N677" i="8"/>
  <c r="I677" i="8"/>
  <c r="H608" i="8"/>
  <c r="N608" i="8"/>
  <c r="I608" i="8"/>
  <c r="O608" i="8"/>
  <c r="J608" i="8"/>
  <c r="E608" i="8"/>
  <c r="G121" i="11" s="1"/>
  <c r="G30" i="20" s="1"/>
  <c r="P608" i="8"/>
  <c r="K608" i="8"/>
  <c r="F608" i="8"/>
  <c r="L121" i="11" s="1"/>
  <c r="L608" i="8"/>
  <c r="G608" i="8"/>
  <c r="Q121" i="11" s="1"/>
  <c r="M608" i="8"/>
  <c r="J676" i="8"/>
  <c r="K676" i="8"/>
  <c r="P676" i="8"/>
  <c r="Q74" i="11" s="1"/>
  <c r="M676" i="8"/>
  <c r="F676" i="8"/>
  <c r="L140" i="11" s="1"/>
  <c r="G676" i="8"/>
  <c r="L676" i="8"/>
  <c r="I676" i="8"/>
  <c r="N676" i="8"/>
  <c r="H676" i="8"/>
  <c r="E676" i="8"/>
  <c r="O676" i="8"/>
  <c r="E604" i="8"/>
  <c r="J604" i="8"/>
  <c r="G604" i="8"/>
  <c r="Q120" i="11" s="1"/>
  <c r="H604" i="8"/>
  <c r="N604" i="8"/>
  <c r="K604" i="8"/>
  <c r="L604" i="8"/>
  <c r="I604" i="8"/>
  <c r="O604" i="8"/>
  <c r="L54" i="11" s="1"/>
  <c r="P604" i="8"/>
  <c r="M604" i="8"/>
  <c r="F604" i="8"/>
  <c r="L120" i="11" s="1"/>
  <c r="G588" i="8"/>
  <c r="Q113" i="11" s="1"/>
  <c r="P588" i="8"/>
  <c r="Q47" i="11" s="1"/>
  <c r="E588" i="8"/>
  <c r="G113" i="11" s="1"/>
  <c r="G22" i="20" s="1"/>
  <c r="K588" i="8"/>
  <c r="F588" i="8"/>
  <c r="L113" i="11" s="1"/>
  <c r="O588" i="8"/>
  <c r="L47" i="11" s="1"/>
  <c r="H588" i="8"/>
  <c r="I588" i="8"/>
  <c r="J588" i="8"/>
  <c r="L588" i="8"/>
  <c r="M588" i="8"/>
  <c r="N588" i="8"/>
  <c r="H600" i="8"/>
  <c r="E600" i="8"/>
  <c r="G115" i="11" s="1"/>
  <c r="G24" i="20" s="1"/>
  <c r="M600" i="8"/>
  <c r="F600" i="8"/>
  <c r="L115" i="11" s="1"/>
  <c r="O600" i="8"/>
  <c r="L49" i="11" s="1"/>
  <c r="I600" i="8"/>
  <c r="K600" i="8"/>
  <c r="P600" i="8"/>
  <c r="Q49" i="11" s="1"/>
  <c r="N600" i="8"/>
  <c r="G600" i="8"/>
  <c r="Q115" i="11" s="1"/>
  <c r="L600" i="8"/>
  <c r="J600" i="8"/>
  <c r="E548" i="8"/>
  <c r="G107" i="11" s="1"/>
  <c r="G16" i="20" s="1"/>
  <c r="O548" i="8"/>
  <c r="L41" i="11" s="1"/>
  <c r="K548" i="8"/>
  <c r="G548" i="8"/>
  <c r="Q107" i="11" s="1"/>
  <c r="P548" i="8"/>
  <c r="Q41" i="11" s="1"/>
  <c r="L548" i="8"/>
  <c r="N548" i="8"/>
  <c r="J548" i="8"/>
  <c r="F548" i="8"/>
  <c r="L107" i="11" s="1"/>
  <c r="M548" i="8"/>
  <c r="I548" i="8"/>
  <c r="I209" i="8"/>
  <c r="G253" i="8"/>
  <c r="I253" i="8" s="1"/>
  <c r="G51" i="6"/>
  <c r="E98" i="9" s="1"/>
  <c r="H98" i="9" s="1"/>
  <c r="I132" i="3"/>
  <c r="J132" i="3" s="1"/>
  <c r="D226" i="3" s="1"/>
  <c r="E226" i="3" s="1"/>
  <c r="F226" i="3" s="1"/>
  <c r="D511" i="3" s="1"/>
  <c r="G50" i="6"/>
  <c r="E97" i="9" s="1"/>
  <c r="H97" i="9" s="1"/>
  <c r="I130" i="3"/>
  <c r="I126" i="3"/>
  <c r="I125" i="3"/>
  <c r="I114" i="3"/>
  <c r="I224" i="8"/>
  <c r="I124" i="3"/>
  <c r="I113" i="3"/>
  <c r="I122" i="3"/>
  <c r="I121" i="3"/>
  <c r="I116" i="3"/>
  <c r="I120" i="3"/>
  <c r="E412" i="3"/>
  <c r="F412" i="3" s="1"/>
  <c r="E465" i="3" s="1"/>
  <c r="H10" i="6"/>
  <c r="E82" i="9" s="1"/>
  <c r="H82" i="9" s="1"/>
  <c r="M557" i="8"/>
  <c r="N557" i="8"/>
  <c r="F557" i="8"/>
  <c r="L557" i="8"/>
  <c r="I557" i="8"/>
  <c r="G557" i="8"/>
  <c r="H557" i="8"/>
  <c r="P557" i="8"/>
  <c r="K557" i="8"/>
  <c r="J557" i="8"/>
  <c r="O557" i="8"/>
  <c r="E557" i="8"/>
  <c r="I112" i="3"/>
  <c r="I205" i="8"/>
  <c r="E87" i="9"/>
  <c r="H87" i="9" s="1"/>
  <c r="G42" i="6"/>
  <c r="E89" i="9" s="1"/>
  <c r="H89" i="9" s="1"/>
  <c r="G45" i="6"/>
  <c r="E92" i="9" s="1"/>
  <c r="H92" i="9" s="1"/>
  <c r="G46" i="6"/>
  <c r="E93" i="9" s="1"/>
  <c r="H93" i="9" s="1"/>
  <c r="G41" i="6"/>
  <c r="E88" i="9" s="1"/>
  <c r="H88" i="9" s="1"/>
  <c r="I189" i="8"/>
  <c r="I190" i="8"/>
  <c r="I193" i="8"/>
  <c r="I195" i="8"/>
  <c r="I196" i="8"/>
  <c r="I198" i="8"/>
  <c r="I199" i="8"/>
  <c r="I203" i="8"/>
  <c r="G171" i="8"/>
  <c r="I171" i="8" s="1"/>
  <c r="I175" i="8"/>
  <c r="I177" i="8"/>
  <c r="I185" i="8"/>
  <c r="I187" i="8"/>
  <c r="G168" i="8"/>
  <c r="I168" i="8" s="1"/>
  <c r="G8" i="3"/>
  <c r="Q54" i="11" l="1"/>
  <c r="Q140" i="11"/>
  <c r="G120" i="11"/>
  <c r="G29" i="20" s="1"/>
  <c r="L74" i="11"/>
  <c r="Q80" i="11"/>
  <c r="G140" i="11"/>
  <c r="G49" i="20" s="1"/>
  <c r="E187" i="3"/>
  <c r="F187" i="3" s="1"/>
  <c r="D472" i="3" s="1"/>
  <c r="L80" i="11"/>
  <c r="J139" i="3"/>
  <c r="D229" i="3" s="1"/>
  <c r="E229" i="3" s="1"/>
  <c r="F229" i="3" s="1"/>
  <c r="D514" i="3" s="1"/>
  <c r="F514" i="3" s="1"/>
  <c r="D237" i="3"/>
  <c r="E237" i="3" s="1"/>
  <c r="F237" i="3" s="1"/>
  <c r="D522" i="3" s="1"/>
  <c r="J129" i="3"/>
  <c r="D225" i="3" s="1"/>
  <c r="E225" i="3" s="1"/>
  <c r="F225" i="3" s="1"/>
  <c r="D510" i="3" s="1"/>
  <c r="F510" i="3" s="1"/>
  <c r="D68" i="9" s="1"/>
  <c r="H68" i="9" s="1"/>
  <c r="H281" i="9"/>
  <c r="I281" i="9" s="1"/>
  <c r="I154" i="11" s="1"/>
  <c r="K185" i="9"/>
  <c r="L185" i="9" s="1"/>
  <c r="N88" i="11" s="1"/>
  <c r="N281" i="9"/>
  <c r="O281" i="9" s="1"/>
  <c r="E185" i="9"/>
  <c r="F185" i="9" s="1"/>
  <c r="K281" i="9"/>
  <c r="L281" i="9" s="1"/>
  <c r="N154" i="11" s="1"/>
  <c r="E281" i="9"/>
  <c r="F281" i="9" s="1"/>
  <c r="D154" i="11" s="1"/>
  <c r="D63" i="20" s="1"/>
  <c r="H185" i="9"/>
  <c r="P717" i="8"/>
  <c r="H717" i="8"/>
  <c r="M717" i="8"/>
  <c r="K717" i="8"/>
  <c r="J717" i="8"/>
  <c r="L717" i="8"/>
  <c r="I717" i="8"/>
  <c r="E717" i="8"/>
  <c r="O717" i="8"/>
  <c r="G717" i="8"/>
  <c r="N717" i="8"/>
  <c r="F717" i="8"/>
  <c r="K732" i="8"/>
  <c r="M732" i="8"/>
  <c r="J732" i="8"/>
  <c r="E732" i="8"/>
  <c r="G153" i="11" s="1"/>
  <c r="G62" i="20" s="1"/>
  <c r="L732" i="8"/>
  <c r="O732" i="8"/>
  <c r="L87" i="11" s="1"/>
  <c r="G732" i="8"/>
  <c r="Q153" i="11" s="1"/>
  <c r="I732" i="8"/>
  <c r="N732" i="8"/>
  <c r="F732" i="8"/>
  <c r="L153" i="11" s="1"/>
  <c r="P732" i="8"/>
  <c r="Q87" i="11" s="1"/>
  <c r="H732" i="8"/>
  <c r="I43" i="11"/>
  <c r="I140" i="9"/>
  <c r="L712" i="8"/>
  <c r="M712" i="8"/>
  <c r="F712" i="8"/>
  <c r="P712" i="8"/>
  <c r="E712" i="8"/>
  <c r="J712" i="8"/>
  <c r="G712" i="8"/>
  <c r="N712" i="8"/>
  <c r="K712" i="8"/>
  <c r="H712" i="8"/>
  <c r="I712" i="8"/>
  <c r="O712" i="8"/>
  <c r="F716" i="8"/>
  <c r="L151" i="11" s="1"/>
  <c r="G716" i="8"/>
  <c r="E716" i="8"/>
  <c r="G151" i="11" s="1"/>
  <c r="G60" i="20" s="1"/>
  <c r="H716" i="8"/>
  <c r="K716" i="8"/>
  <c r="O716" i="8"/>
  <c r="J716" i="8"/>
  <c r="L716" i="8"/>
  <c r="P716" i="8"/>
  <c r="Q85" i="11" s="1"/>
  <c r="M716" i="8"/>
  <c r="N716" i="8"/>
  <c r="I716" i="8"/>
  <c r="N259" i="9"/>
  <c r="O259" i="9" s="1"/>
  <c r="K163" i="9"/>
  <c r="L163" i="9" s="1"/>
  <c r="N66" i="11" s="1"/>
  <c r="K259" i="9"/>
  <c r="L259" i="9" s="1"/>
  <c r="N132" i="11" s="1"/>
  <c r="H163" i="9"/>
  <c r="E259" i="9"/>
  <c r="F259" i="9" s="1"/>
  <c r="D132" i="11" s="1"/>
  <c r="D41" i="20" s="1"/>
  <c r="H259" i="9"/>
  <c r="I259" i="9" s="1"/>
  <c r="I132" i="11" s="1"/>
  <c r="E163" i="9"/>
  <c r="F163" i="9" s="1"/>
  <c r="L736" i="8"/>
  <c r="M736" i="8"/>
  <c r="J736" i="8"/>
  <c r="H736" i="8"/>
  <c r="I736" i="8"/>
  <c r="F736" i="8"/>
  <c r="O736" i="8"/>
  <c r="K736" i="8"/>
  <c r="P736" i="8"/>
  <c r="N736" i="8"/>
  <c r="G736" i="8"/>
  <c r="E736" i="8"/>
  <c r="F744" i="8"/>
  <c r="L155" i="11" s="1"/>
  <c r="O744" i="8"/>
  <c r="L89" i="11" s="1"/>
  <c r="E744" i="8"/>
  <c r="G155" i="11" s="1"/>
  <c r="G64" i="20" s="1"/>
  <c r="P744" i="8"/>
  <c r="Q89" i="11" s="1"/>
  <c r="K744" i="8"/>
  <c r="L744" i="8"/>
  <c r="M744" i="8"/>
  <c r="N744" i="8"/>
  <c r="G744" i="8"/>
  <c r="Q155" i="11" s="1"/>
  <c r="H744" i="8"/>
  <c r="I744" i="8"/>
  <c r="J744" i="8"/>
  <c r="D495" i="3"/>
  <c r="F495" i="3" s="1"/>
  <c r="G209" i="3"/>
  <c r="J142" i="3"/>
  <c r="D230" i="3" s="1"/>
  <c r="E230" i="3" s="1"/>
  <c r="F230" i="3" s="1"/>
  <c r="D515" i="3" s="1"/>
  <c r="F515" i="3" s="1"/>
  <c r="D73" i="9" s="1"/>
  <c r="H73" i="9" s="1"/>
  <c r="E279" i="9"/>
  <c r="F279" i="9" s="1"/>
  <c r="D152" i="11" s="1"/>
  <c r="D61" i="20" s="1"/>
  <c r="K183" i="9"/>
  <c r="L183" i="9" s="1"/>
  <c r="N86" i="11" s="1"/>
  <c r="H279" i="9"/>
  <c r="I279" i="9" s="1"/>
  <c r="I152" i="11" s="1"/>
  <c r="N279" i="9"/>
  <c r="O279" i="9" s="1"/>
  <c r="E183" i="9"/>
  <c r="F183" i="9" s="1"/>
  <c r="K279" i="9"/>
  <c r="L279" i="9" s="1"/>
  <c r="N152" i="11" s="1"/>
  <c r="H183" i="9"/>
  <c r="O728" i="8"/>
  <c r="L91" i="11" s="1"/>
  <c r="G728" i="8"/>
  <c r="Q157" i="11" s="1"/>
  <c r="N728" i="8"/>
  <c r="F728" i="8"/>
  <c r="L157" i="11" s="1"/>
  <c r="P728" i="8"/>
  <c r="Q91" i="11" s="1"/>
  <c r="H728" i="8"/>
  <c r="M728" i="8"/>
  <c r="E728" i="8"/>
  <c r="G157" i="11" s="1"/>
  <c r="G66" i="20" s="1"/>
  <c r="K728" i="8"/>
  <c r="J728" i="8"/>
  <c r="L728" i="8"/>
  <c r="I728" i="8"/>
  <c r="P735" i="8"/>
  <c r="Q90" i="11" s="1"/>
  <c r="H735" i="8"/>
  <c r="K735" i="8"/>
  <c r="I735" i="8"/>
  <c r="J735" i="8"/>
  <c r="L735" i="8"/>
  <c r="O735" i="8"/>
  <c r="G735" i="8"/>
  <c r="M735" i="8"/>
  <c r="N735" i="8"/>
  <c r="F735" i="8"/>
  <c r="L156" i="11" s="1"/>
  <c r="E735" i="8"/>
  <c r="G156" i="11" s="1"/>
  <c r="G65" i="20" s="1"/>
  <c r="I170" i="9"/>
  <c r="I73" i="11"/>
  <c r="H280" i="9"/>
  <c r="I280" i="9" s="1"/>
  <c r="I153" i="11" s="1"/>
  <c r="H184" i="9"/>
  <c r="N280" i="9"/>
  <c r="O280" i="9" s="1"/>
  <c r="K280" i="9"/>
  <c r="L280" i="9" s="1"/>
  <c r="N153" i="11" s="1"/>
  <c r="E280" i="9"/>
  <c r="F280" i="9" s="1"/>
  <c r="D153" i="11" s="1"/>
  <c r="D62" i="20" s="1"/>
  <c r="K184" i="9"/>
  <c r="L184" i="9" s="1"/>
  <c r="N87" i="11" s="1"/>
  <c r="E184" i="9"/>
  <c r="F184" i="9" s="1"/>
  <c r="N239" i="9"/>
  <c r="O239" i="9" s="1"/>
  <c r="H143" i="9"/>
  <c r="K239" i="9"/>
  <c r="L239" i="9" s="1"/>
  <c r="N112" i="11" s="1"/>
  <c r="K143" i="9"/>
  <c r="L143" i="9" s="1"/>
  <c r="N46" i="11" s="1"/>
  <c r="E239" i="9"/>
  <c r="F239" i="9" s="1"/>
  <c r="D112" i="11" s="1"/>
  <c r="D21" i="20" s="1"/>
  <c r="H239" i="9"/>
  <c r="I239" i="9" s="1"/>
  <c r="I112" i="11" s="1"/>
  <c r="E143" i="9"/>
  <c r="F143" i="9" s="1"/>
  <c r="P708" i="8"/>
  <c r="Q79" i="11" s="1"/>
  <c r="I708" i="8"/>
  <c r="L708" i="8"/>
  <c r="N708" i="8"/>
  <c r="O708" i="8"/>
  <c r="L79" i="11" s="1"/>
  <c r="E708" i="8"/>
  <c r="G145" i="11" s="1"/>
  <c r="G54" i="20" s="1"/>
  <c r="H708" i="8"/>
  <c r="J708" i="8"/>
  <c r="K708" i="8"/>
  <c r="M708" i="8"/>
  <c r="F708" i="8"/>
  <c r="L145" i="11" s="1"/>
  <c r="G708" i="8"/>
  <c r="Q145" i="11" s="1"/>
  <c r="L713" i="8"/>
  <c r="O713" i="8"/>
  <c r="I713" i="8"/>
  <c r="N713" i="8"/>
  <c r="M713" i="8"/>
  <c r="F713" i="8"/>
  <c r="H713" i="8"/>
  <c r="E713" i="8"/>
  <c r="K713" i="8"/>
  <c r="G713" i="8"/>
  <c r="J713" i="8"/>
  <c r="P713" i="8"/>
  <c r="I53" i="11"/>
  <c r="I150" i="9"/>
  <c r="I93" i="11"/>
  <c r="I190" i="9"/>
  <c r="J45" i="3"/>
  <c r="D192" i="3" s="1"/>
  <c r="E192" i="3" s="1"/>
  <c r="F192" i="3" s="1"/>
  <c r="D477" i="3" s="1"/>
  <c r="F477" i="3" s="1"/>
  <c r="D35" i="9" s="1"/>
  <c r="H35" i="9" s="1"/>
  <c r="N283" i="9"/>
  <c r="O283" i="9" s="1"/>
  <c r="H187" i="9"/>
  <c r="K283" i="9"/>
  <c r="L283" i="9" s="1"/>
  <c r="N156" i="11" s="1"/>
  <c r="K187" i="9"/>
  <c r="L187" i="9" s="1"/>
  <c r="N90" i="11" s="1"/>
  <c r="E283" i="9"/>
  <c r="F283" i="9" s="1"/>
  <c r="D156" i="11" s="1"/>
  <c r="D65" i="20" s="1"/>
  <c r="H283" i="9"/>
  <c r="I283" i="9" s="1"/>
  <c r="I156" i="11" s="1"/>
  <c r="E187" i="9"/>
  <c r="F187" i="9" s="1"/>
  <c r="I63" i="11"/>
  <c r="I160" i="9"/>
  <c r="I83" i="11"/>
  <c r="I180" i="9"/>
  <c r="K164" i="9"/>
  <c r="L164" i="9" s="1"/>
  <c r="N67" i="11" s="1"/>
  <c r="E164" i="9"/>
  <c r="F164" i="9" s="1"/>
  <c r="H260" i="9"/>
  <c r="I260" i="9" s="1"/>
  <c r="I133" i="11" s="1"/>
  <c r="H164" i="9"/>
  <c r="N260" i="9"/>
  <c r="O260" i="9" s="1"/>
  <c r="K260" i="9"/>
  <c r="L260" i="9" s="1"/>
  <c r="N133" i="11" s="1"/>
  <c r="E260" i="9"/>
  <c r="F260" i="9" s="1"/>
  <c r="D133" i="11" s="1"/>
  <c r="D42" i="20" s="1"/>
  <c r="P741" i="8"/>
  <c r="Q86" i="11" s="1"/>
  <c r="N741" i="8"/>
  <c r="K741" i="8"/>
  <c r="L741" i="8"/>
  <c r="M741" i="8"/>
  <c r="J741" i="8"/>
  <c r="G741" i="8"/>
  <c r="Q152" i="11" s="1"/>
  <c r="H741" i="8"/>
  <c r="I741" i="8"/>
  <c r="F741" i="8"/>
  <c r="L152" i="11" s="1"/>
  <c r="E741" i="8"/>
  <c r="G152" i="11" s="1"/>
  <c r="G61" i="20" s="1"/>
  <c r="O741" i="8"/>
  <c r="L86" i="11" s="1"/>
  <c r="D475" i="3"/>
  <c r="F475" i="3" s="1"/>
  <c r="J134" i="3"/>
  <c r="D227" i="3" s="1"/>
  <c r="E227" i="3" s="1"/>
  <c r="F227" i="3" s="1"/>
  <c r="D512" i="3" s="1"/>
  <c r="N293" i="9"/>
  <c r="O293" i="9" s="1"/>
  <c r="H293" i="9"/>
  <c r="I293" i="9" s="1"/>
  <c r="E293" i="9"/>
  <c r="F293" i="9" s="1"/>
  <c r="K293" i="9"/>
  <c r="L293" i="9" s="1"/>
  <c r="E197" i="9"/>
  <c r="F197" i="9" s="1"/>
  <c r="K197" i="9"/>
  <c r="L197" i="9" s="1"/>
  <c r="H197" i="9"/>
  <c r="I197" i="9" s="1"/>
  <c r="N292" i="9"/>
  <c r="O292" i="9" s="1"/>
  <c r="H292" i="9"/>
  <c r="I292" i="9" s="1"/>
  <c r="K196" i="9"/>
  <c r="L196" i="9" s="1"/>
  <c r="E292" i="9"/>
  <c r="F292" i="9" s="1"/>
  <c r="K292" i="9"/>
  <c r="L292" i="9" s="1"/>
  <c r="H196" i="9"/>
  <c r="I196" i="9" s="1"/>
  <c r="E196" i="9"/>
  <c r="F196" i="9" s="1"/>
  <c r="K303" i="9"/>
  <c r="L303" i="9" s="1"/>
  <c r="N303" i="9"/>
  <c r="O303" i="9" s="1"/>
  <c r="H303" i="9"/>
  <c r="I303" i="9" s="1"/>
  <c r="E303" i="9"/>
  <c r="F303" i="9" s="1"/>
  <c r="K207" i="9"/>
  <c r="L207" i="9" s="1"/>
  <c r="H207" i="9"/>
  <c r="I207" i="9" s="1"/>
  <c r="E207" i="9"/>
  <c r="F207" i="9" s="1"/>
  <c r="E294" i="9"/>
  <c r="F294" i="9" s="1"/>
  <c r="K294" i="9"/>
  <c r="L294" i="9" s="1"/>
  <c r="N294" i="9"/>
  <c r="O294" i="9" s="1"/>
  <c r="H294" i="9"/>
  <c r="I294" i="9" s="1"/>
  <c r="K198" i="9"/>
  <c r="L198" i="9" s="1"/>
  <c r="H198" i="9"/>
  <c r="I198" i="9" s="1"/>
  <c r="E198" i="9"/>
  <c r="F198" i="9" s="1"/>
  <c r="K287" i="9"/>
  <c r="L287" i="9" s="1"/>
  <c r="N287" i="9"/>
  <c r="O287" i="9" s="1"/>
  <c r="H287" i="9"/>
  <c r="I287" i="9" s="1"/>
  <c r="E287" i="9"/>
  <c r="F287" i="9" s="1"/>
  <c r="K191" i="9"/>
  <c r="L191" i="9" s="1"/>
  <c r="H191" i="9"/>
  <c r="I191" i="9" s="1"/>
  <c r="E191" i="9"/>
  <c r="F191" i="9" s="1"/>
  <c r="N297" i="9"/>
  <c r="O297" i="9" s="1"/>
  <c r="H297" i="9"/>
  <c r="I297" i="9" s="1"/>
  <c r="E297" i="9"/>
  <c r="F297" i="9" s="1"/>
  <c r="K297" i="9"/>
  <c r="L297" i="9" s="1"/>
  <c r="E201" i="9"/>
  <c r="F201" i="9" s="1"/>
  <c r="K201" i="9"/>
  <c r="L201" i="9" s="1"/>
  <c r="H201" i="9"/>
  <c r="I201" i="9" s="1"/>
  <c r="E298" i="9"/>
  <c r="F298" i="9" s="1"/>
  <c r="K298" i="9"/>
  <c r="L298" i="9" s="1"/>
  <c r="N298" i="9"/>
  <c r="O298" i="9" s="1"/>
  <c r="H298" i="9"/>
  <c r="I298" i="9" s="1"/>
  <c r="K202" i="9"/>
  <c r="L202" i="9" s="1"/>
  <c r="H202" i="9"/>
  <c r="I202" i="9" s="1"/>
  <c r="E202" i="9"/>
  <c r="F202" i="9" s="1"/>
  <c r="E302" i="9"/>
  <c r="F302" i="9" s="1"/>
  <c r="K302" i="9"/>
  <c r="L302" i="9" s="1"/>
  <c r="N302" i="9"/>
  <c r="O302" i="9" s="1"/>
  <c r="H302" i="9"/>
  <c r="I302" i="9" s="1"/>
  <c r="K206" i="9"/>
  <c r="L206" i="9" s="1"/>
  <c r="E206" i="9"/>
  <c r="F206" i="9" s="1"/>
  <c r="H206" i="9"/>
  <c r="I206" i="9" s="1"/>
  <c r="O533" i="8"/>
  <c r="F533" i="8"/>
  <c r="E533" i="8"/>
  <c r="P533" i="8"/>
  <c r="K533" i="8"/>
  <c r="L533" i="8"/>
  <c r="G533" i="8"/>
  <c r="N533" i="8"/>
  <c r="M533" i="8"/>
  <c r="H533" i="8"/>
  <c r="J533" i="8"/>
  <c r="I533" i="8"/>
  <c r="P572" i="8"/>
  <c r="K572" i="8"/>
  <c r="F572" i="8"/>
  <c r="L111" i="11" s="1"/>
  <c r="L572" i="8"/>
  <c r="G572" i="8"/>
  <c r="Q111" i="11" s="1"/>
  <c r="M572" i="8"/>
  <c r="H572" i="8"/>
  <c r="N572" i="8"/>
  <c r="I572" i="8"/>
  <c r="O572" i="8"/>
  <c r="L45" i="11" s="1"/>
  <c r="J572" i="8"/>
  <c r="E572" i="8"/>
  <c r="G111" i="11" s="1"/>
  <c r="G20" i="20" s="1"/>
  <c r="L569" i="8"/>
  <c r="F569" i="8"/>
  <c r="M569" i="8"/>
  <c r="G569" i="8"/>
  <c r="H569" i="8"/>
  <c r="N569" i="8"/>
  <c r="I569" i="8"/>
  <c r="O569" i="8"/>
  <c r="J569" i="8"/>
  <c r="E569" i="8"/>
  <c r="P569" i="8"/>
  <c r="K569" i="8"/>
  <c r="E681" i="8"/>
  <c r="G141" i="11" s="1"/>
  <c r="G50" i="20" s="1"/>
  <c r="G681" i="8"/>
  <c r="Q141" i="11" s="1"/>
  <c r="P681" i="8"/>
  <c r="Q75" i="11" s="1"/>
  <c r="I681" i="8"/>
  <c r="J681" i="8"/>
  <c r="K681" i="8"/>
  <c r="M681" i="8"/>
  <c r="N681" i="8"/>
  <c r="O681" i="8"/>
  <c r="L75" i="11" s="1"/>
  <c r="H681" i="8"/>
  <c r="L681" i="8"/>
  <c r="F681" i="8"/>
  <c r="L141" i="11" s="1"/>
  <c r="H591" i="8"/>
  <c r="I591" i="8"/>
  <c r="G591" i="8"/>
  <c r="Q116" i="11" s="1"/>
  <c r="L591" i="8"/>
  <c r="M591" i="8"/>
  <c r="F591" i="8"/>
  <c r="L116" i="11" s="1"/>
  <c r="K591" i="8"/>
  <c r="P591" i="8"/>
  <c r="Q50" i="11" s="1"/>
  <c r="J591" i="8"/>
  <c r="O591" i="8"/>
  <c r="L50" i="11" s="1"/>
  <c r="E591" i="8"/>
  <c r="G116" i="11" s="1"/>
  <c r="G25" i="20" s="1"/>
  <c r="N591" i="8"/>
  <c r="O573" i="8"/>
  <c r="M573" i="8"/>
  <c r="F573" i="8"/>
  <c r="H573" i="8"/>
  <c r="J573" i="8"/>
  <c r="G573" i="8"/>
  <c r="L573" i="8"/>
  <c r="N573" i="8"/>
  <c r="K573" i="8"/>
  <c r="P573" i="8"/>
  <c r="E573" i="8"/>
  <c r="I573" i="8"/>
  <c r="K584" i="8"/>
  <c r="J584" i="8"/>
  <c r="O584" i="8"/>
  <c r="H584" i="8"/>
  <c r="I584" i="8"/>
  <c r="N584" i="8"/>
  <c r="L584" i="8"/>
  <c r="E584" i="8"/>
  <c r="G117" i="11" s="1"/>
  <c r="G26" i="20" s="1"/>
  <c r="M584" i="8"/>
  <c r="G584" i="8"/>
  <c r="Q117" i="11" s="1"/>
  <c r="P584" i="8"/>
  <c r="F584" i="8"/>
  <c r="L117" i="11" s="1"/>
  <c r="E564" i="8"/>
  <c r="G105" i="11" s="1"/>
  <c r="G14" i="20" s="1"/>
  <c r="M556" i="8"/>
  <c r="O556" i="8"/>
  <c r="L40" i="11" s="1"/>
  <c r="P556" i="8"/>
  <c r="Q40" i="11" s="1"/>
  <c r="I556" i="8"/>
  <c r="K556" i="8"/>
  <c r="L556" i="8"/>
  <c r="N556" i="8"/>
  <c r="J556" i="8"/>
  <c r="G556" i="8"/>
  <c r="Q106" i="11" s="1"/>
  <c r="H556" i="8"/>
  <c r="E556" i="8"/>
  <c r="G106" i="11" s="1"/>
  <c r="G15" i="20" s="1"/>
  <c r="F556" i="8"/>
  <c r="L106" i="11" s="1"/>
  <c r="L564" i="8"/>
  <c r="H561" i="8"/>
  <c r="N564" i="8"/>
  <c r="J564" i="8"/>
  <c r="F561" i="8"/>
  <c r="L102" i="11" s="1"/>
  <c r="G564" i="8"/>
  <c r="Q105" i="11" s="1"/>
  <c r="H564" i="8"/>
  <c r="E561" i="8"/>
  <c r="G102" i="11" s="1"/>
  <c r="G11" i="20" s="1"/>
  <c r="M561" i="8"/>
  <c r="F564" i="8"/>
  <c r="L105" i="11" s="1"/>
  <c r="O564" i="8"/>
  <c r="L39" i="11" s="1"/>
  <c r="P561" i="8"/>
  <c r="Q36" i="11" s="1"/>
  <c r="M564" i="8"/>
  <c r="I561" i="8"/>
  <c r="O561" i="8"/>
  <c r="L36" i="11" s="1"/>
  <c r="K561" i="8"/>
  <c r="P564" i="8"/>
  <c r="Q39" i="11" s="1"/>
  <c r="L561" i="8"/>
  <c r="I564" i="8"/>
  <c r="N561" i="8"/>
  <c r="J561" i="8"/>
  <c r="K564" i="8"/>
  <c r="G561" i="8"/>
  <c r="Q102" i="11" s="1"/>
  <c r="M537" i="8"/>
  <c r="I537" i="8"/>
  <c r="E537" i="8"/>
  <c r="G101" i="11" s="1"/>
  <c r="G10" i="20" s="1"/>
  <c r="O537" i="8"/>
  <c r="L35" i="11" s="1"/>
  <c r="K537" i="8"/>
  <c r="G537" i="8"/>
  <c r="Q101" i="11" s="1"/>
  <c r="P537" i="8"/>
  <c r="Q35" i="11" s="1"/>
  <c r="L537" i="8"/>
  <c r="H537" i="8"/>
  <c r="N537" i="8"/>
  <c r="J537" i="8"/>
  <c r="F537" i="8"/>
  <c r="L101" i="11" s="1"/>
  <c r="G167" i="8"/>
  <c r="I167" i="8" s="1"/>
  <c r="O532" i="8" s="1"/>
  <c r="J125" i="3"/>
  <c r="D223" i="3" s="1"/>
  <c r="E223" i="3" s="1"/>
  <c r="J122" i="3"/>
  <c r="D222" i="3" s="1"/>
  <c r="E222" i="3" s="1"/>
  <c r="J120" i="3"/>
  <c r="D221" i="3" s="1"/>
  <c r="E221" i="3" s="1"/>
  <c r="J112" i="3"/>
  <c r="J115" i="3"/>
  <c r="D220" i="3" s="1"/>
  <c r="E220" i="3" s="1"/>
  <c r="E413" i="3"/>
  <c r="F413" i="3" s="1"/>
  <c r="E468" i="3" s="1"/>
  <c r="H276" i="3"/>
  <c r="I276" i="3" s="1"/>
  <c r="O534" i="8"/>
  <c r="H534" i="8"/>
  <c r="I534" i="8"/>
  <c r="F534" i="8"/>
  <c r="G534" i="8"/>
  <c r="M534" i="8"/>
  <c r="J534" i="8"/>
  <c r="L534" i="8"/>
  <c r="N534" i="8"/>
  <c r="P534" i="8"/>
  <c r="K534" i="8"/>
  <c r="I78" i="3"/>
  <c r="I73" i="3"/>
  <c r="I192" i="8"/>
  <c r="H275" i="3"/>
  <c r="I275" i="3" s="1"/>
  <c r="H271" i="3"/>
  <c r="I271" i="3" s="1"/>
  <c r="G58" i="6"/>
  <c r="F74" i="6" s="1"/>
  <c r="I75" i="3"/>
  <c r="I83" i="3"/>
  <c r="J83" i="3" s="1"/>
  <c r="D206" i="3" s="1"/>
  <c r="E206" i="3" s="1"/>
  <c r="F206" i="3" s="1"/>
  <c r="D491" i="3" s="1"/>
  <c r="I202" i="8"/>
  <c r="I79" i="3"/>
  <c r="J79" i="3" s="1"/>
  <c r="D203" i="3" s="1"/>
  <c r="I85" i="3"/>
  <c r="I8" i="3"/>
  <c r="I70" i="3"/>
  <c r="I80" i="3"/>
  <c r="J80" i="3" s="1"/>
  <c r="D204" i="3" s="1"/>
  <c r="I77" i="3"/>
  <c r="I84" i="3"/>
  <c r="I74" i="3"/>
  <c r="I81" i="3"/>
  <c r="J81" i="3" s="1"/>
  <c r="D205" i="3" s="1"/>
  <c r="E205" i="3" s="1"/>
  <c r="F205" i="3" s="1"/>
  <c r="D490" i="3" s="1"/>
  <c r="F490" i="3" s="1"/>
  <c r="D48" i="9" s="1"/>
  <c r="H48" i="9" s="1"/>
  <c r="I72" i="3"/>
  <c r="I71" i="3"/>
  <c r="I76" i="3"/>
  <c r="J76" i="3" s="1"/>
  <c r="D201" i="3" s="1"/>
  <c r="I25" i="3"/>
  <c r="Q150" i="11" l="1"/>
  <c r="L34" i="11"/>
  <c r="Q45" i="11"/>
  <c r="Q151" i="11"/>
  <c r="G150" i="11"/>
  <c r="G59" i="20" s="1"/>
  <c r="Q51" i="11"/>
  <c r="Q55" i="11"/>
  <c r="L55" i="11"/>
  <c r="L51" i="11"/>
  <c r="Q156" i="11"/>
  <c r="L84" i="11"/>
  <c r="Q84" i="11"/>
  <c r="L90" i="11"/>
  <c r="L150" i="11"/>
  <c r="L85" i="11"/>
  <c r="G189" i="3"/>
  <c r="G229" i="3"/>
  <c r="K144" i="9"/>
  <c r="L144" i="9" s="1"/>
  <c r="N47" i="11" s="1"/>
  <c r="H144" i="9"/>
  <c r="N240" i="9"/>
  <c r="O240" i="9" s="1"/>
  <c r="K240" i="9"/>
  <c r="L240" i="9" s="1"/>
  <c r="N113" i="11" s="1"/>
  <c r="E144" i="9"/>
  <c r="F144" i="9" s="1"/>
  <c r="E240" i="9"/>
  <c r="F240" i="9" s="1"/>
  <c r="D113" i="11" s="1"/>
  <c r="D22" i="20" s="1"/>
  <c r="H240" i="9"/>
  <c r="I240" i="9" s="1"/>
  <c r="I113" i="11" s="1"/>
  <c r="I87" i="11"/>
  <c r="I184" i="9"/>
  <c r="D53" i="9"/>
  <c r="H53" i="9" s="1"/>
  <c r="D33" i="9"/>
  <c r="H33" i="9" s="1"/>
  <c r="I183" i="9"/>
  <c r="I86" i="11"/>
  <c r="I185" i="9"/>
  <c r="I88" i="11"/>
  <c r="I164" i="9"/>
  <c r="I67" i="11"/>
  <c r="I90" i="11"/>
  <c r="I187" i="9"/>
  <c r="I46" i="11"/>
  <c r="I143" i="9"/>
  <c r="K278" i="9"/>
  <c r="L278" i="9" s="1"/>
  <c r="N151" i="11" s="1"/>
  <c r="H182" i="9"/>
  <c r="E278" i="9"/>
  <c r="F278" i="9" s="1"/>
  <c r="D151" i="11" s="1"/>
  <c r="D60" i="20" s="1"/>
  <c r="K182" i="9"/>
  <c r="L182" i="9" s="1"/>
  <c r="N85" i="11" s="1"/>
  <c r="H278" i="9"/>
  <c r="I278" i="9" s="1"/>
  <c r="I151" i="11" s="1"/>
  <c r="N278" i="9"/>
  <c r="O278" i="9" s="1"/>
  <c r="E182" i="9"/>
  <c r="F182" i="9" s="1"/>
  <c r="D72" i="9"/>
  <c r="H72" i="9" s="1"/>
  <c r="I66" i="11"/>
  <c r="I163" i="9"/>
  <c r="N273" i="9"/>
  <c r="O273" i="9" s="1"/>
  <c r="H273" i="9"/>
  <c r="I273" i="9" s="1"/>
  <c r="I146" i="11" s="1"/>
  <c r="E273" i="9"/>
  <c r="F273" i="9" s="1"/>
  <c r="D146" i="11" s="1"/>
  <c r="D55" i="20" s="1"/>
  <c r="K273" i="9"/>
  <c r="L273" i="9" s="1"/>
  <c r="N146" i="11" s="1"/>
  <c r="K177" i="9"/>
  <c r="L177" i="9" s="1"/>
  <c r="N80" i="11" s="1"/>
  <c r="E177" i="9"/>
  <c r="F177" i="9" s="1"/>
  <c r="H177" i="9"/>
  <c r="N253" i="9"/>
  <c r="O253" i="9" s="1"/>
  <c r="H253" i="9"/>
  <c r="I253" i="9" s="1"/>
  <c r="I126" i="11" s="1"/>
  <c r="K157" i="9"/>
  <c r="L157" i="9" s="1"/>
  <c r="N60" i="11" s="1"/>
  <c r="E253" i="9"/>
  <c r="F253" i="9" s="1"/>
  <c r="D126" i="11" s="1"/>
  <c r="D35" i="20" s="1"/>
  <c r="K253" i="9"/>
  <c r="L253" i="9" s="1"/>
  <c r="N126" i="11" s="1"/>
  <c r="E157" i="9"/>
  <c r="F157" i="9" s="1"/>
  <c r="H157" i="9"/>
  <c r="J568" i="8"/>
  <c r="F568" i="8"/>
  <c r="L110" i="11" s="1"/>
  <c r="O568" i="8"/>
  <c r="L44" i="11" s="1"/>
  <c r="K568" i="8"/>
  <c r="G568" i="8"/>
  <c r="Q110" i="11" s="1"/>
  <c r="E568" i="8"/>
  <c r="G110" i="11" s="1"/>
  <c r="G19" i="20" s="1"/>
  <c r="M568" i="8"/>
  <c r="I568" i="8"/>
  <c r="P568" i="8"/>
  <c r="Q44" i="11" s="1"/>
  <c r="L568" i="8"/>
  <c r="H568" i="8"/>
  <c r="N568" i="8"/>
  <c r="E532" i="8"/>
  <c r="J532" i="8"/>
  <c r="I532" i="8"/>
  <c r="M532" i="8"/>
  <c r="G532" i="8"/>
  <c r="Q100" i="11" s="1"/>
  <c r="H532" i="8"/>
  <c r="F532" i="8"/>
  <c r="L100" i="11" s="1"/>
  <c r="K532" i="8"/>
  <c r="L532" i="8"/>
  <c r="P532" i="8"/>
  <c r="Q34" i="11" s="1"/>
  <c r="N532" i="8"/>
  <c r="D438" i="3"/>
  <c r="D431" i="3"/>
  <c r="E431" i="3" s="1"/>
  <c r="F431" i="3" s="1"/>
  <c r="E492" i="3" s="1"/>
  <c r="D452" i="3"/>
  <c r="D445" i="3"/>
  <c r="E445" i="3" s="1"/>
  <c r="F445" i="3" s="1"/>
  <c r="E512" i="3" s="1"/>
  <c r="F512" i="3" s="1"/>
  <c r="D70" i="9" s="1"/>
  <c r="H70" i="9" s="1"/>
  <c r="D424" i="3"/>
  <c r="D417" i="3"/>
  <c r="D444" i="3"/>
  <c r="E444" i="3" s="1"/>
  <c r="F444" i="3" s="1"/>
  <c r="E511" i="3" s="1"/>
  <c r="F511" i="3" s="1"/>
  <c r="D69" i="9" s="1"/>
  <c r="H69" i="9" s="1"/>
  <c r="D451" i="3"/>
  <c r="E451" i="3" s="1"/>
  <c r="F451" i="3" s="1"/>
  <c r="E521" i="3" s="1"/>
  <c r="F521" i="3" s="1"/>
  <c r="D79" i="9" s="1"/>
  <c r="H79" i="9" s="1"/>
  <c r="D430" i="3"/>
  <c r="E430" i="3" s="1"/>
  <c r="F430" i="3" s="1"/>
  <c r="E491" i="3" s="1"/>
  <c r="F491" i="3" s="1"/>
  <c r="D49" i="9" s="1"/>
  <c r="H49" i="9" s="1"/>
  <c r="D437" i="3"/>
  <c r="E437" i="3" s="1"/>
  <c r="F437" i="3" s="1"/>
  <c r="E501" i="3" s="1"/>
  <c r="F501" i="3" s="1"/>
  <c r="D59" i="9" s="1"/>
  <c r="H59" i="9" s="1"/>
  <c r="D435" i="3"/>
  <c r="E435" i="3" s="1"/>
  <c r="F435" i="3" s="1"/>
  <c r="E499" i="3" s="1"/>
  <c r="F499" i="3" s="1"/>
  <c r="D57" i="9" s="1"/>
  <c r="H57" i="9" s="1"/>
  <c r="D428" i="3"/>
  <c r="E428" i="3" s="1"/>
  <c r="F428" i="3" s="1"/>
  <c r="E489" i="3" s="1"/>
  <c r="D449" i="3"/>
  <c r="E449" i="3" s="1"/>
  <c r="F449" i="3" s="1"/>
  <c r="E519" i="3" s="1"/>
  <c r="F519" i="3" s="1"/>
  <c r="D77" i="9" s="1"/>
  <c r="H77" i="9" s="1"/>
  <c r="D442" i="3"/>
  <c r="E442" i="3" s="1"/>
  <c r="F442" i="3" s="1"/>
  <c r="E509" i="3" s="1"/>
  <c r="D423" i="3"/>
  <c r="E423" i="3" s="1"/>
  <c r="F423" i="3" s="1"/>
  <c r="E481" i="3" s="1"/>
  <c r="F481" i="3" s="1"/>
  <c r="D39" i="9" s="1"/>
  <c r="H39" i="9" s="1"/>
  <c r="D416" i="3"/>
  <c r="E416" i="3" s="1"/>
  <c r="F416" i="3" s="1"/>
  <c r="E471" i="3" s="1"/>
  <c r="D414" i="3"/>
  <c r="D421" i="3"/>
  <c r="D219" i="3"/>
  <c r="J70" i="3"/>
  <c r="D199" i="3" s="1"/>
  <c r="J72" i="3"/>
  <c r="D200" i="3" s="1"/>
  <c r="E200" i="3" s="1"/>
  <c r="J77" i="3"/>
  <c r="D202" i="3" s="1"/>
  <c r="J84" i="3"/>
  <c r="D207" i="3" s="1"/>
  <c r="E207" i="3" s="1"/>
  <c r="F207" i="3" s="1"/>
  <c r="D492" i="3" s="1"/>
  <c r="E417" i="3"/>
  <c r="F417" i="3" s="1"/>
  <c r="E472" i="3" s="1"/>
  <c r="F472" i="3" s="1"/>
  <c r="D30" i="9" s="1"/>
  <c r="H30" i="9" s="1"/>
  <c r="E414" i="3"/>
  <c r="F414" i="3" s="1"/>
  <c r="E469" i="3" s="1"/>
  <c r="E415" i="3"/>
  <c r="F415" i="3" s="1"/>
  <c r="E470" i="3" s="1"/>
  <c r="E201" i="3"/>
  <c r="I28" i="3"/>
  <c r="I27" i="3"/>
  <c r="I26" i="3"/>
  <c r="I24" i="3"/>
  <c r="I22" i="3"/>
  <c r="I21" i="3"/>
  <c r="I18" i="3"/>
  <c r="I17" i="3"/>
  <c r="I16" i="3"/>
  <c r="I14" i="3"/>
  <c r="I12" i="3"/>
  <c r="I10" i="3"/>
  <c r="I9" i="3"/>
  <c r="H254" i="9" l="1"/>
  <c r="I254" i="9" s="1"/>
  <c r="I127" i="11" s="1"/>
  <c r="K158" i="9"/>
  <c r="L158" i="9" s="1"/>
  <c r="N61" i="11" s="1"/>
  <c r="H158" i="9"/>
  <c r="E158" i="9"/>
  <c r="F158" i="9" s="1"/>
  <c r="E254" i="9"/>
  <c r="F254" i="9" s="1"/>
  <c r="D127" i="11" s="1"/>
  <c r="D36" i="20" s="1"/>
  <c r="K254" i="9"/>
  <c r="L254" i="9" s="1"/>
  <c r="N127" i="11" s="1"/>
  <c r="N254" i="9"/>
  <c r="O254" i="9" s="1"/>
  <c r="E235" i="9"/>
  <c r="F235" i="9" s="1"/>
  <c r="D108" i="11" s="1"/>
  <c r="D17" i="20" s="1"/>
  <c r="N235" i="9"/>
  <c r="O235" i="9" s="1"/>
  <c r="E139" i="9"/>
  <c r="F139" i="9" s="1"/>
  <c r="H235" i="9"/>
  <c r="I235" i="9" s="1"/>
  <c r="I108" i="11" s="1"/>
  <c r="K235" i="9"/>
  <c r="L235" i="9" s="1"/>
  <c r="N108" i="11" s="1"/>
  <c r="H139" i="9"/>
  <c r="K139" i="9"/>
  <c r="L139" i="9" s="1"/>
  <c r="N42" i="11" s="1"/>
  <c r="H179" i="9"/>
  <c r="E275" i="9"/>
  <c r="F275" i="9" s="1"/>
  <c r="D148" i="11" s="1"/>
  <c r="D57" i="20" s="1"/>
  <c r="H275" i="9"/>
  <c r="I275" i="9" s="1"/>
  <c r="I148" i="11" s="1"/>
  <c r="E179" i="9"/>
  <c r="F179" i="9" s="1"/>
  <c r="N275" i="9"/>
  <c r="O275" i="9" s="1"/>
  <c r="K179" i="9"/>
  <c r="L179" i="9" s="1"/>
  <c r="N82" i="11" s="1"/>
  <c r="K275" i="9"/>
  <c r="L275" i="9" s="1"/>
  <c r="N148" i="11" s="1"/>
  <c r="K186" i="9"/>
  <c r="L186" i="9" s="1"/>
  <c r="N89" i="11" s="1"/>
  <c r="H282" i="9"/>
  <c r="I282" i="9" s="1"/>
  <c r="I155" i="11" s="1"/>
  <c r="N282" i="9"/>
  <c r="O282" i="9" s="1"/>
  <c r="E186" i="9"/>
  <c r="F186" i="9" s="1"/>
  <c r="K282" i="9"/>
  <c r="L282" i="9" s="1"/>
  <c r="N155" i="11" s="1"/>
  <c r="H186" i="9"/>
  <c r="E282" i="9"/>
  <c r="F282" i="9" s="1"/>
  <c r="D155" i="11" s="1"/>
  <c r="D64" i="20" s="1"/>
  <c r="N264" i="9"/>
  <c r="O264" i="9" s="1"/>
  <c r="E168" i="9"/>
  <c r="F168" i="9" s="1"/>
  <c r="H264" i="9"/>
  <c r="I264" i="9" s="1"/>
  <c r="I137" i="11" s="1"/>
  <c r="E264" i="9"/>
  <c r="F264" i="9" s="1"/>
  <c r="D137" i="11" s="1"/>
  <c r="D46" i="20" s="1"/>
  <c r="K264" i="9"/>
  <c r="L264" i="9" s="1"/>
  <c r="N137" i="11" s="1"/>
  <c r="H168" i="9"/>
  <c r="K168" i="9"/>
  <c r="L168" i="9" s="1"/>
  <c r="N71" i="11" s="1"/>
  <c r="N262" i="9"/>
  <c r="O262" i="9" s="1"/>
  <c r="E166" i="9"/>
  <c r="F166" i="9" s="1"/>
  <c r="H262" i="9"/>
  <c r="I262" i="9" s="1"/>
  <c r="I135" i="11" s="1"/>
  <c r="K262" i="9"/>
  <c r="L262" i="9" s="1"/>
  <c r="N135" i="11" s="1"/>
  <c r="K166" i="9"/>
  <c r="L166" i="9" s="1"/>
  <c r="N69" i="11" s="1"/>
  <c r="H166" i="9"/>
  <c r="E262" i="9"/>
  <c r="F262" i="9" s="1"/>
  <c r="D135" i="11" s="1"/>
  <c r="D44" i="20" s="1"/>
  <c r="N284" i="9"/>
  <c r="O284" i="9" s="1"/>
  <c r="K284" i="9"/>
  <c r="L284" i="9" s="1"/>
  <c r="N157" i="11" s="1"/>
  <c r="E284" i="9"/>
  <c r="F284" i="9" s="1"/>
  <c r="D157" i="11" s="1"/>
  <c r="D66" i="20" s="1"/>
  <c r="K188" i="9"/>
  <c r="L188" i="9" s="1"/>
  <c r="N91" i="11" s="1"/>
  <c r="E188" i="9"/>
  <c r="F188" i="9" s="1"/>
  <c r="H284" i="9"/>
  <c r="I284" i="9" s="1"/>
  <c r="I157" i="11" s="1"/>
  <c r="H188" i="9"/>
  <c r="N244" i="9"/>
  <c r="O244" i="9" s="1"/>
  <c r="E148" i="9"/>
  <c r="F148" i="9" s="1"/>
  <c r="H148" i="9"/>
  <c r="K244" i="9"/>
  <c r="L244" i="9" s="1"/>
  <c r="N117" i="11" s="1"/>
  <c r="K148" i="9"/>
  <c r="L148" i="9" s="1"/>
  <c r="N51" i="11" s="1"/>
  <c r="E244" i="9"/>
  <c r="F244" i="9" s="1"/>
  <c r="D117" i="11" s="1"/>
  <c r="D26" i="20" s="1"/>
  <c r="H244" i="9"/>
  <c r="I244" i="9" s="1"/>
  <c r="I117" i="11" s="1"/>
  <c r="K178" i="9"/>
  <c r="L178" i="9" s="1"/>
  <c r="N81" i="11" s="1"/>
  <c r="E178" i="9"/>
  <c r="F178" i="9" s="1"/>
  <c r="E274" i="9"/>
  <c r="F274" i="9" s="1"/>
  <c r="D147" i="11" s="1"/>
  <c r="D56" i="20" s="1"/>
  <c r="K274" i="9"/>
  <c r="L274" i="9" s="1"/>
  <c r="N147" i="11" s="1"/>
  <c r="N274" i="9"/>
  <c r="O274" i="9" s="1"/>
  <c r="H274" i="9"/>
  <c r="I274" i="9" s="1"/>
  <c r="I147" i="11" s="1"/>
  <c r="H178" i="9"/>
  <c r="F492" i="3"/>
  <c r="D50" i="9" s="1"/>
  <c r="H50" i="9" s="1"/>
  <c r="N255" i="9" s="1"/>
  <c r="O255" i="9" s="1"/>
  <c r="E219" i="3"/>
  <c r="F219" i="3" s="1"/>
  <c r="I182" i="9"/>
  <c r="I85" i="11"/>
  <c r="E258" i="9"/>
  <c r="F258" i="9" s="1"/>
  <c r="D131" i="11" s="1"/>
  <c r="D40" i="20" s="1"/>
  <c r="H162" i="9"/>
  <c r="H258" i="9"/>
  <c r="I258" i="9" s="1"/>
  <c r="I131" i="11" s="1"/>
  <c r="N258" i="9"/>
  <c r="O258" i="9" s="1"/>
  <c r="E162" i="9"/>
  <c r="F162" i="9" s="1"/>
  <c r="K258" i="9"/>
  <c r="L258" i="9" s="1"/>
  <c r="N131" i="11" s="1"/>
  <c r="K162" i="9"/>
  <c r="L162" i="9" s="1"/>
  <c r="N65" i="11" s="1"/>
  <c r="I47" i="11"/>
  <c r="I144" i="9"/>
  <c r="I82" i="11"/>
  <c r="I179" i="9"/>
  <c r="E277" i="9"/>
  <c r="F277" i="9" s="1"/>
  <c r="D150" i="11" s="1"/>
  <c r="D59" i="20" s="1"/>
  <c r="H181" i="9"/>
  <c r="H277" i="9"/>
  <c r="I277" i="9" s="1"/>
  <c r="I150" i="11" s="1"/>
  <c r="K181" i="9"/>
  <c r="L181" i="9" s="1"/>
  <c r="N84" i="11" s="1"/>
  <c r="N277" i="9"/>
  <c r="O277" i="9" s="1"/>
  <c r="E181" i="9"/>
  <c r="F181" i="9" s="1"/>
  <c r="K277" i="9"/>
  <c r="L277" i="9" s="1"/>
  <c r="N150" i="11" s="1"/>
  <c r="K238" i="9"/>
  <c r="L238" i="9" s="1"/>
  <c r="N111" i="11" s="1"/>
  <c r="H142" i="9"/>
  <c r="E238" i="9"/>
  <c r="F238" i="9" s="1"/>
  <c r="D111" i="11" s="1"/>
  <c r="D20" i="20" s="1"/>
  <c r="K142" i="9"/>
  <c r="L142" i="9" s="1"/>
  <c r="N45" i="11" s="1"/>
  <c r="H238" i="9"/>
  <c r="I238" i="9" s="1"/>
  <c r="I111" i="11" s="1"/>
  <c r="N238" i="9"/>
  <c r="O238" i="9" s="1"/>
  <c r="E142" i="9"/>
  <c r="F142" i="9" s="1"/>
  <c r="M748" i="8"/>
  <c r="D806" i="8" s="1"/>
  <c r="F806" i="8" s="1"/>
  <c r="K255" i="9"/>
  <c r="L255" i="9" s="1"/>
  <c r="N128" i="11" s="1"/>
  <c r="I158" i="9"/>
  <c r="I61" i="11"/>
  <c r="I157" i="9"/>
  <c r="I60" i="11"/>
  <c r="I177" i="9"/>
  <c r="I80" i="11"/>
  <c r="E748" i="8"/>
  <c r="D798" i="8" s="1"/>
  <c r="F12" i="11" s="1"/>
  <c r="G100" i="11"/>
  <c r="G9" i="20" s="1"/>
  <c r="J748" i="8"/>
  <c r="D803" i="8" s="1"/>
  <c r="F803" i="8" s="1"/>
  <c r="I748" i="8"/>
  <c r="D802" i="8" s="1"/>
  <c r="F802" i="8" s="1"/>
  <c r="K748" i="8"/>
  <c r="D804" i="8" s="1"/>
  <c r="F804" i="8" s="1"/>
  <c r="G748" i="8"/>
  <c r="D800" i="8" s="1"/>
  <c r="F14" i="11" s="1"/>
  <c r="O748" i="8"/>
  <c r="D808" i="8" s="1"/>
  <c r="F10" i="11" s="1"/>
  <c r="L748" i="8"/>
  <c r="D805" i="8" s="1"/>
  <c r="F805" i="8" s="1"/>
  <c r="H748" i="8"/>
  <c r="D801" i="8" s="1"/>
  <c r="P748" i="8"/>
  <c r="D809" i="8" s="1"/>
  <c r="F748" i="8"/>
  <c r="D799" i="8" s="1"/>
  <c r="F13" i="11" s="1"/>
  <c r="N748" i="8"/>
  <c r="D807" i="8" s="1"/>
  <c r="G439" i="3"/>
  <c r="G425" i="3"/>
  <c r="E424" i="3"/>
  <c r="F424" i="3" s="1"/>
  <c r="E482" i="3" s="1"/>
  <c r="F482" i="3" s="1"/>
  <c r="D40" i="9" s="1"/>
  <c r="H40" i="9" s="1"/>
  <c r="E438" i="3"/>
  <c r="F438" i="3" s="1"/>
  <c r="E502" i="3" s="1"/>
  <c r="F502" i="3" s="1"/>
  <c r="E452" i="3"/>
  <c r="F452" i="3" s="1"/>
  <c r="E522" i="3" s="1"/>
  <c r="F522" i="3" s="1"/>
  <c r="D80" i="9" s="1"/>
  <c r="H80" i="9" s="1"/>
  <c r="E421" i="3"/>
  <c r="F421" i="3" s="1"/>
  <c r="E479" i="3" s="1"/>
  <c r="F479" i="3" s="1"/>
  <c r="J25" i="3"/>
  <c r="D185" i="3" s="1"/>
  <c r="J8" i="3"/>
  <c r="D179" i="3" s="1"/>
  <c r="J21" i="3"/>
  <c r="D183" i="3" s="1"/>
  <c r="J16" i="3"/>
  <c r="D181" i="3" s="1"/>
  <c r="G94" i="11"/>
  <c r="L94" i="11"/>
  <c r="E204" i="3"/>
  <c r="E203" i="3"/>
  <c r="E202" i="3"/>
  <c r="E199" i="3"/>
  <c r="C53" i="1"/>
  <c r="I178" i="9" l="1"/>
  <c r="I81" i="11"/>
  <c r="E159" i="9"/>
  <c r="F159" i="9" s="1"/>
  <c r="H285" i="9"/>
  <c r="I285" i="9" s="1"/>
  <c r="I158" i="11" s="1"/>
  <c r="K285" i="9"/>
  <c r="L285" i="9" s="1"/>
  <c r="N158" i="11" s="1"/>
  <c r="H189" i="9"/>
  <c r="E189" i="9"/>
  <c r="F189" i="9" s="1"/>
  <c r="E285" i="9"/>
  <c r="F285" i="9" s="1"/>
  <c r="D158" i="11" s="1"/>
  <c r="D67" i="20" s="1"/>
  <c r="N285" i="9"/>
  <c r="O285" i="9" s="1"/>
  <c r="K189" i="9"/>
  <c r="L189" i="9" s="1"/>
  <c r="N92" i="11" s="1"/>
  <c r="H159" i="9"/>
  <c r="I42" i="11"/>
  <c r="I139" i="9"/>
  <c r="K159" i="9"/>
  <c r="L159" i="9" s="1"/>
  <c r="N62" i="11" s="1"/>
  <c r="I148" i="9"/>
  <c r="I51" i="11"/>
  <c r="D60" i="9"/>
  <c r="H60" i="9" s="1"/>
  <c r="G494" i="3"/>
  <c r="K149" i="9"/>
  <c r="L149" i="9" s="1"/>
  <c r="N52" i="11" s="1"/>
  <c r="H149" i="9"/>
  <c r="H245" i="9"/>
  <c r="I245" i="9" s="1"/>
  <c r="I118" i="11" s="1"/>
  <c r="E149" i="9"/>
  <c r="F149" i="9" s="1"/>
  <c r="N245" i="9"/>
  <c r="O245" i="9" s="1"/>
  <c r="K245" i="9"/>
  <c r="L245" i="9" s="1"/>
  <c r="N118" i="11" s="1"/>
  <c r="E245" i="9"/>
  <c r="F245" i="9" s="1"/>
  <c r="D118" i="11" s="1"/>
  <c r="D27" i="20" s="1"/>
  <c r="E255" i="9"/>
  <c r="F255" i="9" s="1"/>
  <c r="D128" i="11" s="1"/>
  <c r="D37" i="20" s="1"/>
  <c r="I89" i="11"/>
  <c r="I186" i="9"/>
  <c r="H255" i="9"/>
  <c r="I255" i="9" s="1"/>
  <c r="I128" i="11" s="1"/>
  <c r="I71" i="11"/>
  <c r="I168" i="9"/>
  <c r="D37" i="9"/>
  <c r="H37" i="9" s="1"/>
  <c r="G474" i="3"/>
  <c r="G514" i="3"/>
  <c r="I91" i="11"/>
  <c r="I188" i="9"/>
  <c r="I69" i="11"/>
  <c r="I166" i="9"/>
  <c r="I45" i="11"/>
  <c r="I142" i="9"/>
  <c r="I181" i="9"/>
  <c r="I84" i="11"/>
  <c r="I65" i="11"/>
  <c r="I162" i="9"/>
  <c r="I159" i="9"/>
  <c r="I62" i="11"/>
  <c r="F11" i="11"/>
  <c r="F809" i="8"/>
  <c r="F801" i="8"/>
  <c r="F799" i="8"/>
  <c r="F798" i="8"/>
  <c r="F808" i="8"/>
  <c r="F800" i="8"/>
  <c r="F807" i="8"/>
  <c r="G446" i="3"/>
  <c r="G432" i="3"/>
  <c r="G418" i="3"/>
  <c r="Q160" i="11"/>
  <c r="L160" i="11"/>
  <c r="F203" i="3"/>
  <c r="D488" i="3" s="1"/>
  <c r="F488" i="3" s="1"/>
  <c r="D46" i="9" s="1"/>
  <c r="H46" i="9" s="1"/>
  <c r="F202" i="3"/>
  <c r="D487" i="3" s="1"/>
  <c r="F487" i="3" s="1"/>
  <c r="D45" i="9" s="1"/>
  <c r="H45" i="9" s="1"/>
  <c r="I189" i="9" l="1"/>
  <c r="I92" i="11"/>
  <c r="I52" i="11"/>
  <c r="I149" i="9"/>
  <c r="N242" i="9"/>
  <c r="O242" i="9" s="1"/>
  <c r="E146" i="9"/>
  <c r="F146" i="9" s="1"/>
  <c r="H242" i="9"/>
  <c r="I242" i="9" s="1"/>
  <c r="I115" i="11" s="1"/>
  <c r="K242" i="9"/>
  <c r="L242" i="9" s="1"/>
  <c r="N115" i="11" s="1"/>
  <c r="H146" i="9"/>
  <c r="E242" i="9"/>
  <c r="F242" i="9" s="1"/>
  <c r="D115" i="11" s="1"/>
  <c r="D24" i="20" s="1"/>
  <c r="K146" i="9"/>
  <c r="L146" i="9" s="1"/>
  <c r="N49" i="11" s="1"/>
  <c r="H169" i="9"/>
  <c r="H265" i="9"/>
  <c r="I265" i="9" s="1"/>
  <c r="I138" i="11" s="1"/>
  <c r="K169" i="9"/>
  <c r="L169" i="9" s="1"/>
  <c r="N72" i="11" s="1"/>
  <c r="N265" i="9"/>
  <c r="O265" i="9" s="1"/>
  <c r="E169" i="9"/>
  <c r="F169" i="9" s="1"/>
  <c r="K265" i="9"/>
  <c r="L265" i="9" s="1"/>
  <c r="N138" i="11" s="1"/>
  <c r="E265" i="9"/>
  <c r="F265" i="9" s="1"/>
  <c r="D138" i="11" s="1"/>
  <c r="D47" i="20" s="1"/>
  <c r="E250" i="9"/>
  <c r="F250" i="9" s="1"/>
  <c r="D123" i="11" s="1"/>
  <c r="D32" i="20" s="1"/>
  <c r="K250" i="9"/>
  <c r="L250" i="9" s="1"/>
  <c r="N123" i="11" s="1"/>
  <c r="N250" i="9"/>
  <c r="O250" i="9" s="1"/>
  <c r="H250" i="9"/>
  <c r="I250" i="9" s="1"/>
  <c r="I123" i="11" s="1"/>
  <c r="K154" i="9"/>
  <c r="L154" i="9" s="1"/>
  <c r="N57" i="11" s="1"/>
  <c r="H154" i="9"/>
  <c r="E154" i="9"/>
  <c r="F154" i="9" s="1"/>
  <c r="K251" i="9"/>
  <c r="L251" i="9" s="1"/>
  <c r="N124" i="11" s="1"/>
  <c r="N251" i="9"/>
  <c r="O251" i="9" s="1"/>
  <c r="H251" i="9"/>
  <c r="I251" i="9" s="1"/>
  <c r="I124" i="11" s="1"/>
  <c r="E251" i="9"/>
  <c r="F251" i="9" s="1"/>
  <c r="D124" i="11" s="1"/>
  <c r="D33" i="20" s="1"/>
  <c r="H155" i="9"/>
  <c r="E155" i="9"/>
  <c r="F155" i="9" s="1"/>
  <c r="K155" i="9"/>
  <c r="L155" i="9" s="1"/>
  <c r="N58" i="11" s="1"/>
  <c r="G160" i="11"/>
  <c r="G69" i="20" s="1"/>
  <c r="Q94" i="11"/>
  <c r="F200" i="3"/>
  <c r="D485" i="3" s="1"/>
  <c r="F485" i="3" s="1"/>
  <c r="D43" i="9" s="1"/>
  <c r="H43" i="9" s="1"/>
  <c r="F201" i="3"/>
  <c r="D486" i="3" s="1"/>
  <c r="F486" i="3" s="1"/>
  <c r="D44" i="9" s="1"/>
  <c r="H44" i="9" s="1"/>
  <c r="F204" i="3"/>
  <c r="D489" i="3" s="1"/>
  <c r="F489" i="3" s="1"/>
  <c r="D47" i="9" s="1"/>
  <c r="H47" i="9" s="1"/>
  <c r="F199" i="3"/>
  <c r="F222" i="3"/>
  <c r="D507" i="3" s="1"/>
  <c r="F507" i="3" s="1"/>
  <c r="D65" i="9" s="1"/>
  <c r="H65" i="9" s="1"/>
  <c r="F223" i="3"/>
  <c r="D508" i="3" s="1"/>
  <c r="F508" i="3" s="1"/>
  <c r="D66" i="9" s="1"/>
  <c r="H66" i="9" s="1"/>
  <c r="G2" i="7"/>
  <c r="G54" i="7" s="1"/>
  <c r="G1" i="7"/>
  <c r="G53" i="7" s="1"/>
  <c r="B1" i="7"/>
  <c r="B53" i="7" s="1"/>
  <c r="M787" i="8"/>
  <c r="M525" i="8"/>
  <c r="M470" i="8"/>
  <c r="M304" i="8"/>
  <c r="M158" i="8"/>
  <c r="L55" i="7"/>
  <c r="L54" i="7"/>
  <c r="L2" i="7"/>
  <c r="L63" i="6"/>
  <c r="M2" i="8" s="1"/>
  <c r="L2" i="9" s="1"/>
  <c r="L32" i="6"/>
  <c r="L2" i="6"/>
  <c r="L457" i="3"/>
  <c r="L404" i="3"/>
  <c r="L374" i="3"/>
  <c r="L336" i="3"/>
  <c r="L259" i="3"/>
  <c r="L243" i="3"/>
  <c r="L172" i="3"/>
  <c r="L2" i="3"/>
  <c r="G3" i="11"/>
  <c r="G76" i="10"/>
  <c r="G3" i="10"/>
  <c r="G112" i="9"/>
  <c r="G3" i="9"/>
  <c r="H788" i="8"/>
  <c r="H526" i="8"/>
  <c r="H471" i="8"/>
  <c r="G55" i="7"/>
  <c r="G3" i="7"/>
  <c r="G64" i="6"/>
  <c r="G33" i="6"/>
  <c r="G3" i="6"/>
  <c r="G458" i="3"/>
  <c r="G405" i="3"/>
  <c r="G375" i="3"/>
  <c r="G337" i="3"/>
  <c r="G260" i="3"/>
  <c r="G244" i="3"/>
  <c r="G173" i="3"/>
  <c r="G3" i="3"/>
  <c r="L59" i="1"/>
  <c r="L24" i="1"/>
  <c r="G60" i="1"/>
  <c r="G25" i="1"/>
  <c r="J11" i="8"/>
  <c r="L11" i="8" s="1"/>
  <c r="T343" i="3"/>
  <c r="U343" i="3"/>
  <c r="T344" i="3"/>
  <c r="U344" i="3"/>
  <c r="U345" i="3" s="1"/>
  <c r="H21" i="18"/>
  <c r="M17" i="17"/>
  <c r="E13" i="17"/>
  <c r="E14" i="17"/>
  <c r="D16" i="17"/>
  <c r="D18" i="17" s="1"/>
  <c r="G49" i="16"/>
  <c r="G18" i="16"/>
  <c r="AB196" i="15"/>
  <c r="U196" i="15"/>
  <c r="V195" i="15"/>
  <c r="U195" i="15"/>
  <c r="W195" i="15" s="1"/>
  <c r="X195" i="15" s="1"/>
  <c r="V194" i="15"/>
  <c r="U194" i="15"/>
  <c r="W194" i="15" s="1"/>
  <c r="X194" i="15" s="1"/>
  <c r="U193" i="15"/>
  <c r="V192" i="15"/>
  <c r="U192" i="15"/>
  <c r="W192" i="15" s="1"/>
  <c r="X192" i="15" s="1"/>
  <c r="U191" i="15"/>
  <c r="V190" i="15"/>
  <c r="U190" i="15"/>
  <c r="W190" i="15" s="1"/>
  <c r="X190" i="15" s="1"/>
  <c r="AA190" i="15" s="1"/>
  <c r="U189" i="15"/>
  <c r="AB180" i="15"/>
  <c r="U180" i="15"/>
  <c r="V179" i="15"/>
  <c r="U179" i="15"/>
  <c r="V178" i="15"/>
  <c r="U178" i="15"/>
  <c r="W178" i="15" s="1"/>
  <c r="X178" i="15" s="1"/>
  <c r="U177" i="15"/>
  <c r="V176" i="15"/>
  <c r="U176" i="15"/>
  <c r="W176" i="15" s="1"/>
  <c r="X176" i="15" s="1"/>
  <c r="U175" i="15"/>
  <c r="V174" i="15"/>
  <c r="U174" i="15"/>
  <c r="W174" i="15" s="1"/>
  <c r="X174" i="15" s="1"/>
  <c r="U173" i="15"/>
  <c r="AB141" i="15"/>
  <c r="U141" i="15"/>
  <c r="V140" i="15"/>
  <c r="U140" i="15"/>
  <c r="W140" i="15" s="1"/>
  <c r="X140" i="15" s="1"/>
  <c r="V139" i="15"/>
  <c r="U139" i="15"/>
  <c r="U138" i="15"/>
  <c r="V137" i="15"/>
  <c r="U137" i="15"/>
  <c r="U136" i="15"/>
  <c r="V135" i="15"/>
  <c r="U135" i="15"/>
  <c r="W135" i="15" s="1"/>
  <c r="X135" i="15" s="1"/>
  <c r="U134" i="15"/>
  <c r="AB125" i="15"/>
  <c r="U125" i="15"/>
  <c r="V124" i="15"/>
  <c r="U124" i="15"/>
  <c r="W124" i="15" s="1"/>
  <c r="X124" i="15" s="1"/>
  <c r="V123" i="15"/>
  <c r="U123" i="15"/>
  <c r="W123" i="15" s="1"/>
  <c r="X123" i="15" s="1"/>
  <c r="U122" i="15"/>
  <c r="V121" i="15"/>
  <c r="U121" i="15"/>
  <c r="U120" i="15"/>
  <c r="V119" i="15"/>
  <c r="U119" i="15"/>
  <c r="U118" i="15"/>
  <c r="AB87" i="15"/>
  <c r="U87" i="15"/>
  <c r="V86" i="15"/>
  <c r="U86" i="15"/>
  <c r="V85" i="15"/>
  <c r="U85" i="15"/>
  <c r="U84" i="15"/>
  <c r="V83" i="15"/>
  <c r="U83" i="15"/>
  <c r="W83" i="15" s="1"/>
  <c r="X83" i="15" s="1"/>
  <c r="U82" i="15"/>
  <c r="V81" i="15"/>
  <c r="U81" i="15"/>
  <c r="U80" i="15"/>
  <c r="W34" i="15"/>
  <c r="R134" i="15" s="1"/>
  <c r="AB71" i="15"/>
  <c r="U71" i="15"/>
  <c r="V70" i="15"/>
  <c r="U70" i="15"/>
  <c r="V69" i="15"/>
  <c r="U69" i="15"/>
  <c r="U68" i="15"/>
  <c r="V67" i="15"/>
  <c r="U67" i="15"/>
  <c r="W67" i="15" s="1"/>
  <c r="X67" i="15" s="1"/>
  <c r="U66" i="15"/>
  <c r="V65" i="15"/>
  <c r="U65" i="15"/>
  <c r="U64" i="15"/>
  <c r="Q48" i="15"/>
  <c r="Q49" i="15"/>
  <c r="Q50" i="15"/>
  <c r="Q51" i="15"/>
  <c r="Q52" i="15"/>
  <c r="Q47" i="15"/>
  <c r="V40" i="15"/>
  <c r="V39" i="15"/>
  <c r="M196" i="15"/>
  <c r="F196" i="15"/>
  <c r="G195" i="15"/>
  <c r="F195" i="15"/>
  <c r="G194" i="15"/>
  <c r="F194" i="15"/>
  <c r="H194" i="15" s="1"/>
  <c r="I194" i="15" s="1"/>
  <c r="F193" i="15"/>
  <c r="G192" i="15"/>
  <c r="F192" i="15"/>
  <c r="F191" i="15"/>
  <c r="G190" i="15"/>
  <c r="F190" i="15"/>
  <c r="F189" i="15"/>
  <c r="M180" i="15"/>
  <c r="F180" i="15"/>
  <c r="G179" i="15"/>
  <c r="F179" i="15"/>
  <c r="H179" i="15" s="1"/>
  <c r="I179" i="15" s="1"/>
  <c r="G178" i="15"/>
  <c r="F178" i="15"/>
  <c r="F177" i="15"/>
  <c r="G176" i="15"/>
  <c r="F176" i="15"/>
  <c r="H176" i="15" s="1"/>
  <c r="I176" i="15" s="1"/>
  <c r="F175" i="15"/>
  <c r="G174" i="15"/>
  <c r="F174" i="15"/>
  <c r="F173" i="15"/>
  <c r="M125" i="15"/>
  <c r="M141" i="15"/>
  <c r="F141" i="15"/>
  <c r="G140" i="15"/>
  <c r="F140" i="15"/>
  <c r="G139" i="15"/>
  <c r="F139" i="15"/>
  <c r="F138" i="15"/>
  <c r="G137" i="15"/>
  <c r="F137" i="15"/>
  <c r="H137" i="15" s="1"/>
  <c r="I137" i="15" s="1"/>
  <c r="F136" i="15"/>
  <c r="G135" i="15"/>
  <c r="F135" i="15"/>
  <c r="F134" i="15"/>
  <c r="F125" i="15"/>
  <c r="G124" i="15"/>
  <c r="F124" i="15"/>
  <c r="G123" i="15"/>
  <c r="F123" i="15"/>
  <c r="H123" i="15" s="1"/>
  <c r="I123" i="15" s="1"/>
  <c r="F122" i="15"/>
  <c r="G121" i="15"/>
  <c r="F121" i="15"/>
  <c r="F120" i="15"/>
  <c r="G119" i="15"/>
  <c r="F119" i="15"/>
  <c r="F118" i="15"/>
  <c r="M87" i="15"/>
  <c r="F87" i="15"/>
  <c r="G86" i="15"/>
  <c r="F86" i="15"/>
  <c r="G85" i="15"/>
  <c r="H85" i="15" s="1"/>
  <c r="I85" i="15" s="1"/>
  <c r="F85" i="15"/>
  <c r="F84" i="15"/>
  <c r="G83" i="15"/>
  <c r="F83" i="15"/>
  <c r="H83" i="15" s="1"/>
  <c r="I83" i="15" s="1"/>
  <c r="F82" i="15"/>
  <c r="G81" i="15"/>
  <c r="F81" i="15"/>
  <c r="F80" i="15"/>
  <c r="F64" i="15"/>
  <c r="F71" i="15"/>
  <c r="M71" i="15"/>
  <c r="G70" i="15"/>
  <c r="G69" i="15"/>
  <c r="G67" i="15"/>
  <c r="H67" i="15" s="1"/>
  <c r="I67" i="15" s="1"/>
  <c r="G65" i="15"/>
  <c r="F65" i="15"/>
  <c r="H65" i="15" s="1"/>
  <c r="I65" i="15" s="1"/>
  <c r="L65" i="15" s="1"/>
  <c r="F66" i="15"/>
  <c r="F67" i="15"/>
  <c r="F68" i="15"/>
  <c r="F69" i="15"/>
  <c r="F70" i="15"/>
  <c r="H70" i="15" s="1"/>
  <c r="I70" i="15" s="1"/>
  <c r="B48" i="15"/>
  <c r="B49" i="15"/>
  <c r="B50" i="15"/>
  <c r="B51" i="15"/>
  <c r="B52" i="15"/>
  <c r="B47" i="15"/>
  <c r="H34" i="15"/>
  <c r="C173" i="15" s="1"/>
  <c r="G40" i="15"/>
  <c r="G39" i="15"/>
  <c r="C12" i="15"/>
  <c r="C13" i="15"/>
  <c r="F13" i="15" s="1"/>
  <c r="C14" i="15"/>
  <c r="F14" i="15" s="1"/>
  <c r="G14" i="15" s="1"/>
  <c r="H14" i="15" s="1"/>
  <c r="C15" i="15"/>
  <c r="AC173" i="15" s="1"/>
  <c r="C16" i="15"/>
  <c r="F16" i="15" s="1"/>
  <c r="C11" i="15"/>
  <c r="B12" i="15"/>
  <c r="R48" i="15" s="1"/>
  <c r="B13" i="15"/>
  <c r="C49" i="15" s="1"/>
  <c r="B14" i="15"/>
  <c r="B15" i="15"/>
  <c r="B16" i="15"/>
  <c r="W35" i="15"/>
  <c r="W36" i="15" s="1"/>
  <c r="R136" i="15" s="1"/>
  <c r="R64" i="15"/>
  <c r="R189" i="15"/>
  <c r="R80" i="15"/>
  <c r="R118" i="15"/>
  <c r="W179" i="15"/>
  <c r="X179" i="15" s="1"/>
  <c r="W137" i="15"/>
  <c r="X137" i="15" s="1"/>
  <c r="H174" i="15"/>
  <c r="I174" i="15" s="1"/>
  <c r="L174" i="15" s="1"/>
  <c r="L175" i="15" s="1"/>
  <c r="H195" i="15"/>
  <c r="I195" i="15" s="1"/>
  <c r="F19" i="18"/>
  <c r="G81" i="10"/>
  <c r="D72" i="7"/>
  <c r="D73" i="7"/>
  <c r="D74" i="7"/>
  <c r="D75" i="7"/>
  <c r="D76" i="7"/>
  <c r="D71" i="7"/>
  <c r="H65" i="7"/>
  <c r="E65" i="7"/>
  <c r="J12" i="8"/>
  <c r="L12" i="8" s="1"/>
  <c r="J13" i="8"/>
  <c r="L13" i="8" s="1"/>
  <c r="J14" i="8"/>
  <c r="L14" i="8" s="1"/>
  <c r="J15" i="8"/>
  <c r="L15" i="8" s="1"/>
  <c r="J16" i="8"/>
  <c r="L16" i="8" s="1"/>
  <c r="J17" i="8"/>
  <c r="L17" i="8" s="1"/>
  <c r="J18" i="8"/>
  <c r="L18" i="8" s="1"/>
  <c r="J19" i="8"/>
  <c r="L19" i="8" s="1"/>
  <c r="J20" i="8"/>
  <c r="L20" i="8" s="1"/>
  <c r="J21" i="8"/>
  <c r="L21" i="8" s="1"/>
  <c r="J22" i="8"/>
  <c r="L22" i="8" s="1"/>
  <c r="G28" i="7"/>
  <c r="G29" i="7"/>
  <c r="G30" i="7"/>
  <c r="G31" i="7"/>
  <c r="G32" i="7"/>
  <c r="G33" i="7"/>
  <c r="G34" i="7"/>
  <c r="G35" i="7"/>
  <c r="G36" i="7"/>
  <c r="G37" i="7"/>
  <c r="G38" i="7"/>
  <c r="G27" i="7"/>
  <c r="F17" i="7"/>
  <c r="F18" i="7"/>
  <c r="F19" i="7"/>
  <c r="F20" i="7"/>
  <c r="F21" i="7"/>
  <c r="F16" i="7"/>
  <c r="D17" i="7"/>
  <c r="E17" i="7" s="1"/>
  <c r="D19" i="7"/>
  <c r="E19" i="7" s="1"/>
  <c r="D20" i="7"/>
  <c r="E20" i="7" s="1"/>
  <c r="D21" i="7"/>
  <c r="E21" i="7" s="1"/>
  <c r="C9" i="7"/>
  <c r="O60" i="6"/>
  <c r="O59" i="6"/>
  <c r="O58" i="6"/>
  <c r="N57" i="6"/>
  <c r="O57" i="6" s="1"/>
  <c r="O56" i="6"/>
  <c r="O55" i="6"/>
  <c r="O54" i="6"/>
  <c r="O42" i="6"/>
  <c r="O41" i="6"/>
  <c r="O40" i="6"/>
  <c r="O45" i="6"/>
  <c r="O44" i="6"/>
  <c r="O43" i="6"/>
  <c r="O47" i="6"/>
  <c r="O46" i="6"/>
  <c r="O10" i="6"/>
  <c r="O12" i="6"/>
  <c r="O13" i="6"/>
  <c r="O14" i="6"/>
  <c r="O15" i="6"/>
  <c r="U346" i="3"/>
  <c r="T346" i="3"/>
  <c r="S344" i="3"/>
  <c r="R344" i="3"/>
  <c r="S343" i="3"/>
  <c r="R343" i="3"/>
  <c r="J19" i="18"/>
  <c r="N22" i="18" s="1"/>
  <c r="H19" i="18"/>
  <c r="D19" i="18"/>
  <c r="R174" i="15" l="1"/>
  <c r="H124" i="15"/>
  <c r="I124" i="15" s="1"/>
  <c r="H178" i="15"/>
  <c r="I178" i="15" s="1"/>
  <c r="R173" i="15"/>
  <c r="W119" i="15"/>
  <c r="X119" i="15" s="1"/>
  <c r="AA119" i="15" s="1"/>
  <c r="W85" i="15"/>
  <c r="X85" i="15" s="1"/>
  <c r="I169" i="9"/>
  <c r="I72" i="11"/>
  <c r="N40" i="15"/>
  <c r="W65" i="15"/>
  <c r="X65" i="15" s="1"/>
  <c r="W70" i="15"/>
  <c r="X70" i="15" s="1"/>
  <c r="I49" i="11"/>
  <c r="I146" i="9"/>
  <c r="E270" i="9"/>
  <c r="F270" i="9" s="1"/>
  <c r="D143" i="11" s="1"/>
  <c r="D52" i="20" s="1"/>
  <c r="K270" i="9"/>
  <c r="L270" i="9" s="1"/>
  <c r="N143" i="11" s="1"/>
  <c r="N270" i="9"/>
  <c r="O270" i="9" s="1"/>
  <c r="H270" i="9"/>
  <c r="I270" i="9" s="1"/>
  <c r="I143" i="11" s="1"/>
  <c r="K174" i="9"/>
  <c r="L174" i="9" s="1"/>
  <c r="N77" i="11" s="1"/>
  <c r="H174" i="9"/>
  <c r="E174" i="9"/>
  <c r="F174" i="9" s="1"/>
  <c r="N248" i="9"/>
  <c r="O248" i="9" s="1"/>
  <c r="H248" i="9"/>
  <c r="I248" i="9" s="1"/>
  <c r="I121" i="11" s="1"/>
  <c r="K152" i="9"/>
  <c r="L152" i="9" s="1"/>
  <c r="N55" i="11" s="1"/>
  <c r="E248" i="9"/>
  <c r="F248" i="9" s="1"/>
  <c r="D121" i="11" s="1"/>
  <c r="D30" i="20" s="1"/>
  <c r="K248" i="9"/>
  <c r="L248" i="9" s="1"/>
  <c r="N121" i="11" s="1"/>
  <c r="H152" i="9"/>
  <c r="E152" i="9"/>
  <c r="F152" i="9" s="1"/>
  <c r="K271" i="9"/>
  <c r="L271" i="9" s="1"/>
  <c r="N144" i="11" s="1"/>
  <c r="N271" i="9"/>
  <c r="O271" i="9" s="1"/>
  <c r="H271" i="9"/>
  <c r="I271" i="9" s="1"/>
  <c r="I144" i="11" s="1"/>
  <c r="E271" i="9"/>
  <c r="F271" i="9" s="1"/>
  <c r="D144" i="11" s="1"/>
  <c r="D53" i="20" s="1"/>
  <c r="K175" i="9"/>
  <c r="L175" i="9" s="1"/>
  <c r="N78" i="11" s="1"/>
  <c r="H175" i="9"/>
  <c r="E175" i="9"/>
  <c r="F175" i="9" s="1"/>
  <c r="N249" i="9"/>
  <c r="O249" i="9" s="1"/>
  <c r="H249" i="9"/>
  <c r="I249" i="9" s="1"/>
  <c r="I122" i="11" s="1"/>
  <c r="K153" i="9"/>
  <c r="L153" i="9" s="1"/>
  <c r="N56" i="11" s="1"/>
  <c r="E249" i="9"/>
  <c r="F249" i="9" s="1"/>
  <c r="D122" i="11" s="1"/>
  <c r="D31" i="20" s="1"/>
  <c r="K249" i="9"/>
  <c r="L249" i="9" s="1"/>
  <c r="N122" i="11" s="1"/>
  <c r="E153" i="9"/>
  <c r="F153" i="9" s="1"/>
  <c r="H153" i="9"/>
  <c r="I154" i="9"/>
  <c r="I57" i="11"/>
  <c r="N252" i="9"/>
  <c r="O252" i="9" s="1"/>
  <c r="H252" i="9"/>
  <c r="I252" i="9" s="1"/>
  <c r="I125" i="11" s="1"/>
  <c r="K156" i="9"/>
  <c r="L156" i="9" s="1"/>
  <c r="N59" i="11" s="1"/>
  <c r="E252" i="9"/>
  <c r="F252" i="9" s="1"/>
  <c r="D125" i="11" s="1"/>
  <c r="D34" i="20" s="1"/>
  <c r="K252" i="9"/>
  <c r="L252" i="9" s="1"/>
  <c r="N125" i="11" s="1"/>
  <c r="H156" i="9"/>
  <c r="E156" i="9"/>
  <c r="F156" i="9" s="1"/>
  <c r="I155" i="9"/>
  <c r="I58" i="11"/>
  <c r="G139" i="10"/>
  <c r="O90" i="11" s="1"/>
  <c r="G136" i="10"/>
  <c r="O87" i="11" s="1"/>
  <c r="G116" i="10"/>
  <c r="O67" i="11" s="1"/>
  <c r="G140" i="10"/>
  <c r="O91" i="11" s="1"/>
  <c r="G109" i="10"/>
  <c r="O60" i="11" s="1"/>
  <c r="G129" i="10"/>
  <c r="O80" i="11" s="1"/>
  <c r="G126" i="10"/>
  <c r="O77" i="11" s="1"/>
  <c r="G119" i="10"/>
  <c r="O70" i="11" s="1"/>
  <c r="G110" i="10"/>
  <c r="O61" i="11" s="1"/>
  <c r="G130" i="10"/>
  <c r="O81" i="11" s="1"/>
  <c r="G120" i="10"/>
  <c r="O71" i="11" s="1"/>
  <c r="D484" i="3"/>
  <c r="F484" i="3" s="1"/>
  <c r="G199" i="3"/>
  <c r="D16" i="7"/>
  <c r="E16" i="7" s="1"/>
  <c r="R66" i="15"/>
  <c r="R191" i="15"/>
  <c r="R65" i="15"/>
  <c r="D18" i="7"/>
  <c r="E18" i="7" s="1"/>
  <c r="R120" i="15"/>
  <c r="F18" i="1"/>
  <c r="H135" i="15"/>
  <c r="I135" i="15" s="1"/>
  <c r="L135" i="15" s="1"/>
  <c r="L136" i="15" s="1"/>
  <c r="D19" i="1"/>
  <c r="R81" i="15"/>
  <c r="C189" i="15"/>
  <c r="N20" i="18"/>
  <c r="R119" i="15"/>
  <c r="N21" i="18"/>
  <c r="R135" i="15"/>
  <c r="C80" i="15"/>
  <c r="F9" i="1"/>
  <c r="H140" i="15"/>
  <c r="I140" i="15" s="1"/>
  <c r="H35" i="15"/>
  <c r="H36" i="15" s="1"/>
  <c r="C191" i="15" s="1"/>
  <c r="R190" i="15"/>
  <c r="C64" i="15"/>
  <c r="N80" i="15"/>
  <c r="H81" i="15"/>
  <c r="I81" i="15" s="1"/>
  <c r="L81" i="15" s="1"/>
  <c r="L82" i="15" s="1"/>
  <c r="H86" i="15"/>
  <c r="I86" i="15" s="1"/>
  <c r="H121" i="15"/>
  <c r="I121" i="15" s="1"/>
  <c r="H139" i="15"/>
  <c r="I139" i="15" s="1"/>
  <c r="H192" i="15"/>
  <c r="I192" i="15" s="1"/>
  <c r="AC40" i="15"/>
  <c r="S80" i="15" s="1"/>
  <c r="W69" i="15"/>
  <c r="X69" i="15" s="1"/>
  <c r="Y65" i="15" s="1"/>
  <c r="W81" i="15"/>
  <c r="X81" i="15" s="1"/>
  <c r="W86" i="15"/>
  <c r="X86" i="15" s="1"/>
  <c r="W121" i="15"/>
  <c r="X121" i="15" s="1"/>
  <c r="Y119" i="15" s="1"/>
  <c r="W139" i="15"/>
  <c r="X139" i="15" s="1"/>
  <c r="Y135" i="15" s="1"/>
  <c r="F17" i="1"/>
  <c r="F14" i="1"/>
  <c r="F10" i="1"/>
  <c r="F11" i="1"/>
  <c r="F13" i="1"/>
  <c r="F220" i="3"/>
  <c r="D505" i="3" s="1"/>
  <c r="F505" i="3" s="1"/>
  <c r="D63" i="9" s="1"/>
  <c r="H63" i="9" s="1"/>
  <c r="F221" i="3"/>
  <c r="D506" i="3" s="1"/>
  <c r="F506" i="3" s="1"/>
  <c r="D64" i="9" s="1"/>
  <c r="H64" i="9" s="1"/>
  <c r="F224" i="3"/>
  <c r="D509" i="3" s="1"/>
  <c r="F509" i="3" s="1"/>
  <c r="D67" i="9" s="1"/>
  <c r="H67" i="9" s="1"/>
  <c r="O65" i="15"/>
  <c r="L66" i="15"/>
  <c r="O66" i="15" s="1"/>
  <c r="Y174" i="15"/>
  <c r="AA174" i="15"/>
  <c r="AA175" i="15" s="1"/>
  <c r="AA120" i="15"/>
  <c r="AD120" i="15" s="1"/>
  <c r="AD119" i="15"/>
  <c r="O174" i="15"/>
  <c r="B11" i="15"/>
  <c r="C47" i="15" s="1"/>
  <c r="F53" i="1"/>
  <c r="AC64" i="15"/>
  <c r="H69" i="15"/>
  <c r="I69" i="15" s="1"/>
  <c r="J65" i="15" s="1"/>
  <c r="H190" i="15"/>
  <c r="I190" i="15" s="1"/>
  <c r="C134" i="15"/>
  <c r="H119" i="15"/>
  <c r="I119" i="15" s="1"/>
  <c r="F363" i="3"/>
  <c r="F362" i="3"/>
  <c r="M391" i="3"/>
  <c r="U350" i="3"/>
  <c r="F387" i="3"/>
  <c r="F345" i="3"/>
  <c r="M388" i="3"/>
  <c r="F349" i="3"/>
  <c r="F384" i="3"/>
  <c r="U354" i="3"/>
  <c r="F393" i="3"/>
  <c r="M382" i="3"/>
  <c r="F354" i="3"/>
  <c r="M396" i="3"/>
  <c r="F381" i="3"/>
  <c r="F389" i="3"/>
  <c r="U352" i="3"/>
  <c r="M385" i="3"/>
  <c r="F370" i="3"/>
  <c r="F394" i="3"/>
  <c r="F391" i="3"/>
  <c r="M384" i="3"/>
  <c r="F367" i="3"/>
  <c r="F359" i="3"/>
  <c r="F352" i="3"/>
  <c r="F346" i="3"/>
  <c r="M394" i="3"/>
  <c r="F382" i="3"/>
  <c r="F366" i="3"/>
  <c r="F358" i="3"/>
  <c r="F348" i="3"/>
  <c r="U355" i="3"/>
  <c r="M386" i="3"/>
  <c r="M61" i="6" s="1"/>
  <c r="O61" i="6" s="1"/>
  <c r="F344" i="3"/>
  <c r="M50" i="6" s="1"/>
  <c r="O50" i="6" s="1"/>
  <c r="F395" i="3"/>
  <c r="M393" i="3"/>
  <c r="F392" i="3"/>
  <c r="F390" i="3"/>
  <c r="M387" i="3"/>
  <c r="M383" i="3"/>
  <c r="F368" i="3"/>
  <c r="F365" i="3"/>
  <c r="F360" i="3"/>
  <c r="F357" i="3"/>
  <c r="F353" i="3"/>
  <c r="F350" i="3"/>
  <c r="U348" i="3"/>
  <c r="T345" i="3"/>
  <c r="M395" i="3"/>
  <c r="M392" i="3"/>
  <c r="M390" i="3"/>
  <c r="F388" i="3"/>
  <c r="F386" i="3"/>
  <c r="F385" i="3"/>
  <c r="F383" i="3"/>
  <c r="M381" i="3"/>
  <c r="F369" i="3"/>
  <c r="F364" i="3"/>
  <c r="F361" i="3"/>
  <c r="F356" i="3"/>
  <c r="U353" i="3"/>
  <c r="U351" i="3"/>
  <c r="U349" i="3"/>
  <c r="F347" i="3"/>
  <c r="F396" i="3"/>
  <c r="F355" i="3"/>
  <c r="M389" i="3"/>
  <c r="H16" i="7"/>
  <c r="H21" i="7" s="1"/>
  <c r="G21" i="7" s="1"/>
  <c r="N134" i="15"/>
  <c r="J14" i="15"/>
  <c r="AC134" i="15"/>
  <c r="N173" i="15"/>
  <c r="R49" i="15"/>
  <c r="C48" i="15"/>
  <c r="D80" i="15" s="1"/>
  <c r="AC118" i="15"/>
  <c r="N118" i="15"/>
  <c r="U50" i="15"/>
  <c r="V50" i="15" s="1"/>
  <c r="F12" i="15"/>
  <c r="F48" i="15" s="1"/>
  <c r="G48" i="15" s="1"/>
  <c r="F15" i="15"/>
  <c r="F11" i="15"/>
  <c r="F50" i="15"/>
  <c r="G50" i="15" s="1"/>
  <c r="N64" i="15"/>
  <c r="AC189" i="15"/>
  <c r="AC80" i="15"/>
  <c r="F351" i="3"/>
  <c r="F343" i="3"/>
  <c r="J174" i="15"/>
  <c r="AA191" i="15"/>
  <c r="AA192" i="15" s="1"/>
  <c r="AD190" i="15"/>
  <c r="H12" i="6"/>
  <c r="E84" i="9" s="1"/>
  <c r="H84" i="9" s="1"/>
  <c r="I65" i="7"/>
  <c r="E75" i="7" s="1"/>
  <c r="O175" i="15"/>
  <c r="L176" i="15"/>
  <c r="AA135" i="15"/>
  <c r="D48" i="15"/>
  <c r="D50" i="15"/>
  <c r="D47" i="15"/>
  <c r="D49" i="15"/>
  <c r="E49" i="15" s="1"/>
  <c r="D52" i="15"/>
  <c r="D51" i="15"/>
  <c r="N41" i="15"/>
  <c r="Y190" i="15"/>
  <c r="F52" i="15"/>
  <c r="G52" i="15" s="1"/>
  <c r="U52" i="15"/>
  <c r="V52" i="15" s="1"/>
  <c r="G16" i="15"/>
  <c r="H16" i="15" s="1"/>
  <c r="J16" i="15" s="1"/>
  <c r="AA65" i="15"/>
  <c r="W37" i="15"/>
  <c r="R82" i="15"/>
  <c r="R175" i="15"/>
  <c r="C52" i="15"/>
  <c r="R52" i="15"/>
  <c r="C50" i="15"/>
  <c r="R50" i="15"/>
  <c r="C51" i="15"/>
  <c r="R51" i="15"/>
  <c r="U49" i="15"/>
  <c r="V49" i="15" s="1"/>
  <c r="F49" i="15"/>
  <c r="G49" i="15" s="1"/>
  <c r="G13" i="15"/>
  <c r="H13" i="15" s="1"/>
  <c r="J13" i="15" s="1"/>
  <c r="N189" i="15"/>
  <c r="C81" i="15"/>
  <c r="C118" i="15"/>
  <c r="D118" i="15" s="1"/>
  <c r="D41" i="10" l="1"/>
  <c r="I41" i="10" s="1"/>
  <c r="D21" i="10"/>
  <c r="D31" i="10"/>
  <c r="D61" i="10"/>
  <c r="I61" i="10" s="1"/>
  <c r="D51" i="10"/>
  <c r="I51" i="10" s="1"/>
  <c r="D11" i="10"/>
  <c r="D30" i="10"/>
  <c r="D10" i="10"/>
  <c r="I10" i="10" s="1"/>
  <c r="D60" i="10"/>
  <c r="I60" i="10" s="1"/>
  <c r="D20" i="10"/>
  <c r="D40" i="10"/>
  <c r="I40" i="10" s="1"/>
  <c r="D50" i="10"/>
  <c r="I50" i="10" s="1"/>
  <c r="D14" i="10"/>
  <c r="D24" i="10"/>
  <c r="D54" i="10"/>
  <c r="I54" i="10" s="1"/>
  <c r="D34" i="10"/>
  <c r="I34" i="10" s="1"/>
  <c r="D44" i="10"/>
  <c r="I44" i="10" s="1"/>
  <c r="D64" i="10"/>
  <c r="I64" i="10" s="1"/>
  <c r="D37" i="10"/>
  <c r="I37" i="10" s="1"/>
  <c r="D17" i="10"/>
  <c r="I17" i="10" s="1"/>
  <c r="D67" i="10"/>
  <c r="I67" i="10" s="1"/>
  <c r="D27" i="10"/>
  <c r="D57" i="10"/>
  <c r="I57" i="10" s="1"/>
  <c r="D47" i="10"/>
  <c r="I47" i="10" s="1"/>
  <c r="D39" i="10"/>
  <c r="I39" i="10" s="1"/>
  <c r="D29" i="10"/>
  <c r="D59" i="10"/>
  <c r="I59" i="10" s="1"/>
  <c r="D49" i="10"/>
  <c r="I49" i="10" s="1"/>
  <c r="D19" i="10"/>
  <c r="F23" i="11"/>
  <c r="F22" i="11"/>
  <c r="S120" i="15"/>
  <c r="D38" i="10"/>
  <c r="I38" i="10" s="1"/>
  <c r="D58" i="10"/>
  <c r="I58" i="10" s="1"/>
  <c r="D18" i="10"/>
  <c r="D48" i="10"/>
  <c r="I48" i="10" s="1"/>
  <c r="D68" i="10"/>
  <c r="I68" i="10" s="1"/>
  <c r="D28" i="10"/>
  <c r="D53" i="10"/>
  <c r="I53" i="10" s="1"/>
  <c r="D13" i="10"/>
  <c r="I13" i="10" s="1"/>
  <c r="D43" i="10"/>
  <c r="I43" i="10" s="1"/>
  <c r="D63" i="10"/>
  <c r="I63" i="10" s="1"/>
  <c r="D33" i="10"/>
  <c r="I33" i="10" s="1"/>
  <c r="D23" i="10"/>
  <c r="N289" i="9"/>
  <c r="O289" i="9" s="1"/>
  <c r="H289" i="9"/>
  <c r="I289" i="9" s="1"/>
  <c r="E289" i="9"/>
  <c r="F289" i="9" s="1"/>
  <c r="K289" i="9"/>
  <c r="L289" i="9" s="1"/>
  <c r="K193" i="9"/>
  <c r="L193" i="9" s="1"/>
  <c r="E193" i="9"/>
  <c r="F193" i="9" s="1"/>
  <c r="H193" i="9"/>
  <c r="I193" i="9" s="1"/>
  <c r="N268" i="9"/>
  <c r="O268" i="9" s="1"/>
  <c r="H268" i="9"/>
  <c r="I268" i="9" s="1"/>
  <c r="I141" i="11" s="1"/>
  <c r="K172" i="9"/>
  <c r="L172" i="9" s="1"/>
  <c r="N75" i="11" s="1"/>
  <c r="E268" i="9"/>
  <c r="F268" i="9" s="1"/>
  <c r="D141" i="11" s="1"/>
  <c r="D50" i="20" s="1"/>
  <c r="K268" i="9"/>
  <c r="L268" i="9" s="1"/>
  <c r="N141" i="11" s="1"/>
  <c r="H172" i="9"/>
  <c r="E172" i="9"/>
  <c r="F172" i="9" s="1"/>
  <c r="D42" i="9"/>
  <c r="H42" i="9" s="1"/>
  <c r="G484" i="3"/>
  <c r="I152" i="9"/>
  <c r="I55" i="11"/>
  <c r="N269" i="9"/>
  <c r="O269" i="9" s="1"/>
  <c r="H269" i="9"/>
  <c r="I269" i="9" s="1"/>
  <c r="I142" i="11" s="1"/>
  <c r="E269" i="9"/>
  <c r="F269" i="9" s="1"/>
  <c r="D142" i="11" s="1"/>
  <c r="D51" i="20" s="1"/>
  <c r="K269" i="9"/>
  <c r="L269" i="9" s="1"/>
  <c r="N142" i="11" s="1"/>
  <c r="E173" i="9"/>
  <c r="F173" i="9" s="1"/>
  <c r="K173" i="9"/>
  <c r="L173" i="9" s="1"/>
  <c r="N76" i="11" s="1"/>
  <c r="H173" i="9"/>
  <c r="I174" i="9"/>
  <c r="I77" i="11"/>
  <c r="N272" i="9"/>
  <c r="O272" i="9" s="1"/>
  <c r="H272" i="9"/>
  <c r="I272" i="9" s="1"/>
  <c r="I145" i="11" s="1"/>
  <c r="K176" i="9"/>
  <c r="L176" i="9" s="1"/>
  <c r="N79" i="11" s="1"/>
  <c r="E272" i="9"/>
  <c r="F272" i="9" s="1"/>
  <c r="D145" i="11" s="1"/>
  <c r="D54" i="20" s="1"/>
  <c r="K272" i="9"/>
  <c r="L272" i="9" s="1"/>
  <c r="N145" i="11" s="1"/>
  <c r="H176" i="9"/>
  <c r="E176" i="9"/>
  <c r="F176" i="9" s="1"/>
  <c r="I156" i="9"/>
  <c r="I59" i="11"/>
  <c r="I153" i="9"/>
  <c r="I56" i="11"/>
  <c r="I175" i="9"/>
  <c r="I78" i="11"/>
  <c r="D504" i="3"/>
  <c r="F504" i="3" s="1"/>
  <c r="G219" i="3"/>
  <c r="D65" i="7"/>
  <c r="F25" i="11"/>
  <c r="F26" i="11"/>
  <c r="J135" i="15"/>
  <c r="J190" i="15"/>
  <c r="F24" i="11"/>
  <c r="S47" i="15"/>
  <c r="L190" i="15"/>
  <c r="O190" i="15" s="1"/>
  <c r="L67" i="15"/>
  <c r="L68" i="15" s="1"/>
  <c r="C119" i="15"/>
  <c r="D119" i="15" s="1"/>
  <c r="M119" i="15" s="1"/>
  <c r="I32" i="10"/>
  <c r="I16" i="10"/>
  <c r="I24" i="10"/>
  <c r="I25" i="10"/>
  <c r="D9" i="10"/>
  <c r="I9" i="10" s="1"/>
  <c r="I28" i="10"/>
  <c r="I20" i="10"/>
  <c r="I12" i="10"/>
  <c r="Y81" i="15"/>
  <c r="J119" i="15"/>
  <c r="I26" i="10"/>
  <c r="I18" i="10"/>
  <c r="I30" i="10"/>
  <c r="I22" i="10"/>
  <c r="I14" i="10"/>
  <c r="I27" i="10"/>
  <c r="I19" i="10"/>
  <c r="I11" i="10"/>
  <c r="I29" i="10"/>
  <c r="I21" i="10"/>
  <c r="I23" i="10"/>
  <c r="I31" i="10"/>
  <c r="I15" i="10"/>
  <c r="AA121" i="15"/>
  <c r="AD121" i="15" s="1"/>
  <c r="J81" i="15"/>
  <c r="O81" i="15"/>
  <c r="S51" i="15"/>
  <c r="T51" i="15" s="1"/>
  <c r="AA81" i="15"/>
  <c r="AA82" i="15" s="1"/>
  <c r="O136" i="15"/>
  <c r="L137" i="15"/>
  <c r="O137" i="15" s="1"/>
  <c r="C135" i="15"/>
  <c r="C65" i="15"/>
  <c r="D65" i="15" s="1"/>
  <c r="C174" i="15"/>
  <c r="D174" i="15" s="1"/>
  <c r="AC41" i="15"/>
  <c r="C190" i="15"/>
  <c r="D190" i="15" s="1"/>
  <c r="S49" i="15"/>
  <c r="T49" i="15" s="1"/>
  <c r="S82" i="15"/>
  <c r="AB82" i="15" s="1"/>
  <c r="AD174" i="15"/>
  <c r="C175" i="15"/>
  <c r="D175" i="15" s="1"/>
  <c r="S50" i="15"/>
  <c r="C120" i="15"/>
  <c r="D120" i="15" s="1"/>
  <c r="E120" i="15" s="1"/>
  <c r="S48" i="15"/>
  <c r="T48" i="15" s="1"/>
  <c r="S81" i="15"/>
  <c r="AB81" i="15" s="1"/>
  <c r="O135" i="15"/>
  <c r="S52" i="15"/>
  <c r="T52" i="15" s="1"/>
  <c r="I19" i="3"/>
  <c r="I15" i="3"/>
  <c r="E181" i="3" s="1"/>
  <c r="I13" i="3"/>
  <c r="I29" i="3"/>
  <c r="I11" i="3"/>
  <c r="E179" i="3" s="1"/>
  <c r="F179" i="3" s="1"/>
  <c r="I23" i="3"/>
  <c r="F19" i="1"/>
  <c r="A72" i="6"/>
  <c r="F72" i="6" s="1"/>
  <c r="F75" i="6" s="1"/>
  <c r="H14" i="6"/>
  <c r="F25" i="6" s="1"/>
  <c r="R47" i="15"/>
  <c r="T47" i="15" s="1"/>
  <c r="Z193" i="15"/>
  <c r="Z122" i="15"/>
  <c r="Z195" i="15"/>
  <c r="K120" i="15"/>
  <c r="Z121" i="15"/>
  <c r="K119" i="15"/>
  <c r="K193" i="15"/>
  <c r="Z124" i="15"/>
  <c r="K190" i="15"/>
  <c r="K191" i="15"/>
  <c r="Z190" i="15"/>
  <c r="AC190" i="15" s="1"/>
  <c r="Z123" i="15"/>
  <c r="K194" i="15"/>
  <c r="Z194" i="15"/>
  <c r="K196" i="15"/>
  <c r="Z120" i="15"/>
  <c r="AC120" i="15" s="1"/>
  <c r="C66" i="15"/>
  <c r="D66" i="15" s="1"/>
  <c r="C136" i="15"/>
  <c r="D136" i="15" s="1"/>
  <c r="C82" i="15"/>
  <c r="D82" i="15" s="1"/>
  <c r="M82" i="15" s="1"/>
  <c r="L119" i="15"/>
  <c r="I21" i="7"/>
  <c r="J21" i="7" s="1"/>
  <c r="K21" i="7" s="1"/>
  <c r="C49" i="7" s="1"/>
  <c r="H37" i="15"/>
  <c r="C121" i="15" s="1"/>
  <c r="D121" i="15" s="1"/>
  <c r="N385" i="3"/>
  <c r="G363" i="3"/>
  <c r="G359" i="3"/>
  <c r="N381" i="3"/>
  <c r="G385" i="3"/>
  <c r="N393" i="3"/>
  <c r="G381" i="3"/>
  <c r="G355" i="3"/>
  <c r="G343" i="3"/>
  <c r="N389" i="3"/>
  <c r="G367" i="3"/>
  <c r="G393" i="3"/>
  <c r="V348" i="3"/>
  <c r="G347" i="3"/>
  <c r="H20" i="7"/>
  <c r="I20" i="7" s="1"/>
  <c r="J20" i="7" s="1"/>
  <c r="K20" i="7" s="1"/>
  <c r="C48" i="7" s="1"/>
  <c r="H19" i="7"/>
  <c r="I19" i="7" s="1"/>
  <c r="J19" i="7" s="1"/>
  <c r="K19" i="7" s="1"/>
  <c r="C47" i="7" s="1"/>
  <c r="H17" i="7"/>
  <c r="G17" i="7" s="1"/>
  <c r="G16" i="7"/>
  <c r="I16" i="7"/>
  <c r="J16" i="7" s="1"/>
  <c r="K16" i="7" s="1"/>
  <c r="C44" i="7" s="1"/>
  <c r="H18" i="7"/>
  <c r="I18" i="7" s="1"/>
  <c r="J18" i="7" s="1"/>
  <c r="K18" i="7" s="1"/>
  <c r="C46" i="7" s="1"/>
  <c r="S119" i="15"/>
  <c r="T119" i="15" s="1"/>
  <c r="E72" i="7"/>
  <c r="S118" i="15"/>
  <c r="AB118" i="15" s="1"/>
  <c r="E74" i="7"/>
  <c r="E71" i="7"/>
  <c r="E48" i="15"/>
  <c r="D81" i="15"/>
  <c r="E81" i="15" s="1"/>
  <c r="K81" i="15"/>
  <c r="N81" i="15" s="1"/>
  <c r="U51" i="15"/>
  <c r="V51" i="15" s="1"/>
  <c r="G15" i="15"/>
  <c r="H15" i="15" s="1"/>
  <c r="J15" i="15" s="1"/>
  <c r="F51" i="15"/>
  <c r="G51" i="15" s="1"/>
  <c r="G12" i="15"/>
  <c r="H12" i="15" s="1"/>
  <c r="J12" i="15" s="1"/>
  <c r="U48" i="15"/>
  <c r="V48" i="15" s="1"/>
  <c r="G11" i="15"/>
  <c r="H11" i="15" s="1"/>
  <c r="J11" i="15" s="1"/>
  <c r="U47" i="15"/>
  <c r="V47" i="15" s="1"/>
  <c r="F47" i="15"/>
  <c r="G47" i="15" s="1"/>
  <c r="E47" i="15"/>
  <c r="E73" i="7"/>
  <c r="E76" i="7"/>
  <c r="M118" i="15"/>
  <c r="E118" i="15"/>
  <c r="E52" i="15"/>
  <c r="D189" i="15"/>
  <c r="D191" i="15"/>
  <c r="L83" i="15"/>
  <c r="O82" i="15"/>
  <c r="E119" i="15"/>
  <c r="O176" i="15"/>
  <c r="L177" i="15"/>
  <c r="K124" i="15"/>
  <c r="E80" i="15"/>
  <c r="M80" i="15"/>
  <c r="AA193" i="15"/>
  <c r="AD192" i="15"/>
  <c r="AD191" i="15"/>
  <c r="Z119" i="15"/>
  <c r="AC119" i="15" s="1"/>
  <c r="D173" i="15"/>
  <c r="E51" i="15"/>
  <c r="Z83" i="15"/>
  <c r="AD81" i="15"/>
  <c r="T80" i="15"/>
  <c r="AB80" i="15"/>
  <c r="W38" i="15"/>
  <c r="R176" i="15"/>
  <c r="S176" i="15" s="1"/>
  <c r="R137" i="15"/>
  <c r="S137" i="15" s="1"/>
  <c r="R121" i="15"/>
  <c r="S121" i="15" s="1"/>
  <c r="R192" i="15"/>
  <c r="S192" i="15" s="1"/>
  <c r="R83" i="15"/>
  <c r="S83" i="15" s="1"/>
  <c r="R67" i="15"/>
  <c r="Z141" i="15"/>
  <c r="K137" i="15"/>
  <c r="Z84" i="15"/>
  <c r="Z87" i="15"/>
  <c r="K87" i="15"/>
  <c r="Z174" i="15"/>
  <c r="AC174" i="15" s="1"/>
  <c r="Z67" i="15"/>
  <c r="K139" i="15"/>
  <c r="Z86" i="15"/>
  <c r="K82" i="15"/>
  <c r="N82" i="15" s="1"/>
  <c r="K176" i="15"/>
  <c r="N176" i="15" s="1"/>
  <c r="K175" i="15"/>
  <c r="N175" i="15" s="1"/>
  <c r="Z69" i="15"/>
  <c r="K65" i="15"/>
  <c r="N65" i="15" s="1"/>
  <c r="K68" i="15"/>
  <c r="K70" i="15"/>
  <c r="K141" i="15"/>
  <c r="Z81" i="15"/>
  <c r="K84" i="15"/>
  <c r="K178" i="15"/>
  <c r="K177" i="15"/>
  <c r="Z71" i="15"/>
  <c r="Z65" i="15"/>
  <c r="AC65" i="15" s="1"/>
  <c r="Z136" i="15"/>
  <c r="K136" i="15"/>
  <c r="N136" i="15" s="1"/>
  <c r="K86" i="15"/>
  <c r="K180" i="15"/>
  <c r="K179" i="15"/>
  <c r="Z66" i="15"/>
  <c r="K66" i="15"/>
  <c r="N66" i="15" s="1"/>
  <c r="Z176" i="15"/>
  <c r="K174" i="15"/>
  <c r="N174" i="15" s="1"/>
  <c r="Z68" i="15"/>
  <c r="K71" i="15"/>
  <c r="Z140" i="15"/>
  <c r="K140" i="15"/>
  <c r="Z175" i="15"/>
  <c r="AC175" i="15" s="1"/>
  <c r="Z178" i="15"/>
  <c r="Z70" i="15"/>
  <c r="Z135" i="15"/>
  <c r="AC135" i="15" s="1"/>
  <c r="K135" i="15"/>
  <c r="N135" i="15" s="1"/>
  <c r="Z177" i="15"/>
  <c r="Z180" i="15"/>
  <c r="Z137" i="15"/>
  <c r="Z82" i="15"/>
  <c r="Z85" i="15"/>
  <c r="K85" i="15"/>
  <c r="Z179" i="15"/>
  <c r="Z139" i="15"/>
  <c r="K69" i="15"/>
  <c r="K67" i="15"/>
  <c r="K125" i="15"/>
  <c r="Z192" i="15"/>
  <c r="AC192" i="15" s="1"/>
  <c r="K83" i="15"/>
  <c r="T50" i="15"/>
  <c r="S134" i="15"/>
  <c r="S136" i="15"/>
  <c r="S135" i="15"/>
  <c r="AA66" i="15"/>
  <c r="AD65" i="15"/>
  <c r="K192" i="15"/>
  <c r="Z138" i="15"/>
  <c r="K123" i="15"/>
  <c r="D135" i="15"/>
  <c r="E50" i="15"/>
  <c r="D134" i="15"/>
  <c r="AB120" i="15"/>
  <c r="T120" i="15"/>
  <c r="Z191" i="15"/>
  <c r="AC191" i="15" s="1"/>
  <c r="K195" i="15"/>
  <c r="AD175" i="15"/>
  <c r="AA176" i="15"/>
  <c r="D64" i="15"/>
  <c r="AD135" i="15"/>
  <c r="AA136" i="15"/>
  <c r="K138" i="15"/>
  <c r="K121" i="15"/>
  <c r="K122" i="15"/>
  <c r="Z125" i="15"/>
  <c r="S174" i="15"/>
  <c r="S173" i="15"/>
  <c r="S175" i="15"/>
  <c r="S191" i="15"/>
  <c r="S190" i="15"/>
  <c r="S189" i="15"/>
  <c r="Z196" i="15"/>
  <c r="E121" i="10" l="1"/>
  <c r="J72" i="11" s="1"/>
  <c r="M121" i="10"/>
  <c r="O138" i="11" s="1"/>
  <c r="I121" i="10"/>
  <c r="E138" i="11" s="1"/>
  <c r="E47" i="20" s="1"/>
  <c r="K121" i="10"/>
  <c r="J138" i="11" s="1"/>
  <c r="G121" i="10"/>
  <c r="O72" i="11" s="1"/>
  <c r="I108" i="10"/>
  <c r="E125" i="11" s="1"/>
  <c r="E34" i="20" s="1"/>
  <c r="M108" i="10"/>
  <c r="O125" i="11" s="1"/>
  <c r="K108" i="10"/>
  <c r="J125" i="11" s="1"/>
  <c r="E108" i="10"/>
  <c r="J59" i="11" s="1"/>
  <c r="G108" i="10"/>
  <c r="O59" i="11" s="1"/>
  <c r="I127" i="10"/>
  <c r="E144" i="11" s="1"/>
  <c r="E53" i="20" s="1"/>
  <c r="K127" i="10"/>
  <c r="J144" i="11" s="1"/>
  <c r="E127" i="10"/>
  <c r="J78" i="11" s="1"/>
  <c r="M127" i="10"/>
  <c r="O144" i="11" s="1"/>
  <c r="G127" i="10"/>
  <c r="O78" i="11" s="1"/>
  <c r="M131" i="10"/>
  <c r="O148" i="11" s="1"/>
  <c r="K131" i="10"/>
  <c r="J148" i="11" s="1"/>
  <c r="E131" i="10"/>
  <c r="J82" i="11" s="1"/>
  <c r="I131" i="10"/>
  <c r="E148" i="11" s="1"/>
  <c r="E57" i="20" s="1"/>
  <c r="G131" i="10"/>
  <c r="O82" i="11" s="1"/>
  <c r="K128" i="10"/>
  <c r="J145" i="11" s="1"/>
  <c r="I128" i="10"/>
  <c r="E145" i="11" s="1"/>
  <c r="E54" i="20" s="1"/>
  <c r="E128" i="10"/>
  <c r="J79" i="11" s="1"/>
  <c r="M128" i="10"/>
  <c r="O145" i="11" s="1"/>
  <c r="G128" i="10"/>
  <c r="O79" i="11" s="1"/>
  <c r="I142" i="10"/>
  <c r="E159" i="11" s="1"/>
  <c r="E68" i="20" s="1"/>
  <c r="M142" i="10"/>
  <c r="O159" i="11" s="1"/>
  <c r="E142" i="10"/>
  <c r="J93" i="11" s="1"/>
  <c r="K142" i="10"/>
  <c r="J159" i="11" s="1"/>
  <c r="G142" i="10"/>
  <c r="O93" i="11" s="1"/>
  <c r="E141" i="10"/>
  <c r="J92" i="11" s="1"/>
  <c r="K141" i="10"/>
  <c r="J158" i="11" s="1"/>
  <c r="M141" i="10"/>
  <c r="O158" i="11" s="1"/>
  <c r="I141" i="10"/>
  <c r="E158" i="11" s="1"/>
  <c r="E67" i="20" s="1"/>
  <c r="G141" i="10"/>
  <c r="O92" i="11" s="1"/>
  <c r="M125" i="10"/>
  <c r="O142" i="11" s="1"/>
  <c r="E125" i="10"/>
  <c r="J76" i="11" s="1"/>
  <c r="K125" i="10"/>
  <c r="J142" i="11" s="1"/>
  <c r="I125" i="10"/>
  <c r="E142" i="11" s="1"/>
  <c r="E51" i="20" s="1"/>
  <c r="G125" i="10"/>
  <c r="O76" i="11" s="1"/>
  <c r="M122" i="10"/>
  <c r="O139" i="11" s="1"/>
  <c r="I122" i="10"/>
  <c r="E139" i="11" s="1"/>
  <c r="E48" i="20" s="1"/>
  <c r="E122" i="10"/>
  <c r="J73" i="11" s="1"/>
  <c r="K122" i="10"/>
  <c r="J139" i="11" s="1"/>
  <c r="G122" i="10"/>
  <c r="O73" i="11" s="1"/>
  <c r="E123" i="10"/>
  <c r="J74" i="11" s="1"/>
  <c r="M123" i="10"/>
  <c r="O140" i="11" s="1"/>
  <c r="K123" i="10"/>
  <c r="J140" i="11" s="1"/>
  <c r="I123" i="10"/>
  <c r="E140" i="11" s="1"/>
  <c r="E49" i="20" s="1"/>
  <c r="G123" i="10"/>
  <c r="O74" i="11" s="1"/>
  <c r="K91" i="10"/>
  <c r="J108" i="11" s="1"/>
  <c r="I91" i="10"/>
  <c r="E108" i="11" s="1"/>
  <c r="E17" i="20" s="1"/>
  <c r="E91" i="10"/>
  <c r="J42" i="11" s="1"/>
  <c r="M91" i="10"/>
  <c r="O108" i="11" s="1"/>
  <c r="G91" i="10"/>
  <c r="O42" i="11" s="1"/>
  <c r="E124" i="10"/>
  <c r="J75" i="11" s="1"/>
  <c r="K124" i="10"/>
  <c r="J141" i="11" s="1"/>
  <c r="I124" i="10"/>
  <c r="E141" i="11" s="1"/>
  <c r="E50" i="20" s="1"/>
  <c r="M124" i="10"/>
  <c r="O141" i="11" s="1"/>
  <c r="G124" i="10"/>
  <c r="O75" i="11" s="1"/>
  <c r="E135" i="10"/>
  <c r="J86" i="11" s="1"/>
  <c r="M135" i="10"/>
  <c r="O152" i="11" s="1"/>
  <c r="I135" i="10"/>
  <c r="E152" i="11" s="1"/>
  <c r="E61" i="20" s="1"/>
  <c r="K135" i="10"/>
  <c r="J152" i="11" s="1"/>
  <c r="G135" i="10"/>
  <c r="O86" i="11" s="1"/>
  <c r="O67" i="15"/>
  <c r="I107" i="10"/>
  <c r="E124" i="11" s="1"/>
  <c r="E33" i="20" s="1"/>
  <c r="M107" i="10"/>
  <c r="O124" i="11" s="1"/>
  <c r="E107" i="10"/>
  <c r="J58" i="11" s="1"/>
  <c r="K107" i="10"/>
  <c r="J124" i="11" s="1"/>
  <c r="G107" i="10"/>
  <c r="O58" i="11" s="1"/>
  <c r="M133" i="10"/>
  <c r="O150" i="11" s="1"/>
  <c r="K133" i="10"/>
  <c r="J150" i="11" s="1"/>
  <c r="I133" i="10"/>
  <c r="E150" i="11" s="1"/>
  <c r="E59" i="20" s="1"/>
  <c r="E133" i="10"/>
  <c r="J84" i="11" s="1"/>
  <c r="G133" i="10"/>
  <c r="O84" i="11" s="1"/>
  <c r="K111" i="10"/>
  <c r="J128" i="11" s="1"/>
  <c r="M111" i="10"/>
  <c r="O128" i="11" s="1"/>
  <c r="I111" i="10"/>
  <c r="E128" i="11" s="1"/>
  <c r="E37" i="20" s="1"/>
  <c r="E111" i="10"/>
  <c r="J62" i="11" s="1"/>
  <c r="G111" i="10"/>
  <c r="O62" i="11" s="1"/>
  <c r="M114" i="10"/>
  <c r="O131" i="11" s="1"/>
  <c r="K114" i="10"/>
  <c r="J131" i="11" s="1"/>
  <c r="E114" i="10"/>
  <c r="J65" i="11" s="1"/>
  <c r="I114" i="10"/>
  <c r="E131" i="11" s="1"/>
  <c r="E40" i="20" s="1"/>
  <c r="G114" i="10"/>
  <c r="O65" i="11" s="1"/>
  <c r="E137" i="10"/>
  <c r="J88" i="11" s="1"/>
  <c r="K137" i="10"/>
  <c r="J154" i="11" s="1"/>
  <c r="I137" i="10"/>
  <c r="E154" i="11" s="1"/>
  <c r="E63" i="20" s="1"/>
  <c r="M137" i="10"/>
  <c r="O154" i="11" s="1"/>
  <c r="G137" i="10"/>
  <c r="O88" i="11" s="1"/>
  <c r="K132" i="10"/>
  <c r="J149" i="11" s="1"/>
  <c r="I132" i="10"/>
  <c r="E149" i="11" s="1"/>
  <c r="E58" i="20" s="1"/>
  <c r="E132" i="10"/>
  <c r="J83" i="11" s="1"/>
  <c r="M132" i="10"/>
  <c r="O149" i="11" s="1"/>
  <c r="G132" i="10"/>
  <c r="O83" i="11" s="1"/>
  <c r="M138" i="10"/>
  <c r="O155" i="11" s="1"/>
  <c r="I138" i="10"/>
  <c r="E155" i="11" s="1"/>
  <c r="E64" i="20" s="1"/>
  <c r="K138" i="10"/>
  <c r="J155" i="11" s="1"/>
  <c r="E138" i="10"/>
  <c r="J89" i="11" s="1"/>
  <c r="G138" i="10"/>
  <c r="O89" i="11" s="1"/>
  <c r="N67" i="15"/>
  <c r="I117" i="10"/>
  <c r="E134" i="11" s="1"/>
  <c r="E43" i="20" s="1"/>
  <c r="K117" i="10"/>
  <c r="J134" i="11" s="1"/>
  <c r="E117" i="10"/>
  <c r="J68" i="11" s="1"/>
  <c r="M117" i="10"/>
  <c r="O134" i="11" s="1"/>
  <c r="G117" i="10"/>
  <c r="O68" i="11" s="1"/>
  <c r="M112" i="10"/>
  <c r="O129" i="11" s="1"/>
  <c r="E112" i="10"/>
  <c r="J63" i="11" s="1"/>
  <c r="K112" i="10"/>
  <c r="J129" i="11" s="1"/>
  <c r="I112" i="10"/>
  <c r="E129" i="11" s="1"/>
  <c r="E38" i="20" s="1"/>
  <c r="G112" i="10"/>
  <c r="O63" i="11" s="1"/>
  <c r="K113" i="10"/>
  <c r="J130" i="11" s="1"/>
  <c r="I113" i="10"/>
  <c r="E130" i="11" s="1"/>
  <c r="E39" i="20" s="1"/>
  <c r="E113" i="10"/>
  <c r="J64" i="11" s="1"/>
  <c r="M113" i="10"/>
  <c r="O130" i="11" s="1"/>
  <c r="G113" i="10"/>
  <c r="O64" i="11" s="1"/>
  <c r="K118" i="10"/>
  <c r="J135" i="11" s="1"/>
  <c r="I118" i="10"/>
  <c r="E135" i="11" s="1"/>
  <c r="E44" i="20" s="1"/>
  <c r="E118" i="10"/>
  <c r="J69" i="11" s="1"/>
  <c r="M118" i="10"/>
  <c r="O135" i="11" s="1"/>
  <c r="G118" i="10"/>
  <c r="O69" i="11" s="1"/>
  <c r="M134" i="10"/>
  <c r="O151" i="11" s="1"/>
  <c r="K134" i="10"/>
  <c r="J151" i="11" s="1"/>
  <c r="E134" i="10"/>
  <c r="J85" i="11" s="1"/>
  <c r="I134" i="10"/>
  <c r="E151" i="11" s="1"/>
  <c r="E60" i="20" s="1"/>
  <c r="G134" i="10"/>
  <c r="O85" i="11" s="1"/>
  <c r="I115" i="10"/>
  <c r="E132" i="11" s="1"/>
  <c r="E41" i="20" s="1"/>
  <c r="M115" i="10"/>
  <c r="O132" i="11" s="1"/>
  <c r="E115" i="10"/>
  <c r="J66" i="11" s="1"/>
  <c r="K115" i="10"/>
  <c r="J132" i="11" s="1"/>
  <c r="G115" i="10"/>
  <c r="O66" i="11" s="1"/>
  <c r="D62" i="9"/>
  <c r="H62" i="9" s="1"/>
  <c r="G504" i="3"/>
  <c r="I176" i="9"/>
  <c r="I79" i="11"/>
  <c r="I173" i="9"/>
  <c r="I76" i="11"/>
  <c r="I172" i="9"/>
  <c r="I75" i="11"/>
  <c r="K247" i="9"/>
  <c r="L247" i="9" s="1"/>
  <c r="N120" i="11" s="1"/>
  <c r="N247" i="9"/>
  <c r="O247" i="9" s="1"/>
  <c r="H247" i="9"/>
  <c r="I247" i="9" s="1"/>
  <c r="I120" i="11" s="1"/>
  <c r="E247" i="9"/>
  <c r="F247" i="9" s="1"/>
  <c r="D120" i="11" s="1"/>
  <c r="D29" i="20" s="1"/>
  <c r="K151" i="9"/>
  <c r="L151" i="9" s="1"/>
  <c r="N54" i="11" s="1"/>
  <c r="H151" i="9"/>
  <c r="E151" i="9"/>
  <c r="F151" i="9" s="1"/>
  <c r="I97" i="10"/>
  <c r="E114" i="11" s="1"/>
  <c r="E23" i="20" s="1"/>
  <c r="G97" i="10"/>
  <c r="O48" i="11" s="1"/>
  <c r="M97" i="10"/>
  <c r="O114" i="11" s="1"/>
  <c r="E97" i="10"/>
  <c r="J48" i="11" s="1"/>
  <c r="K97" i="10"/>
  <c r="J114" i="11" s="1"/>
  <c r="I85" i="10"/>
  <c r="E102" i="11" s="1"/>
  <c r="E11" i="20" s="1"/>
  <c r="G85" i="10"/>
  <c r="O36" i="11" s="1"/>
  <c r="M85" i="10"/>
  <c r="O102" i="11" s="1"/>
  <c r="E85" i="10"/>
  <c r="J36" i="11" s="1"/>
  <c r="K85" i="10"/>
  <c r="J102" i="11" s="1"/>
  <c r="K96" i="10"/>
  <c r="J113" i="11" s="1"/>
  <c r="I96" i="10"/>
  <c r="E113" i="11" s="1"/>
  <c r="E22" i="20" s="1"/>
  <c r="G96" i="10"/>
  <c r="O47" i="11" s="1"/>
  <c r="M96" i="10"/>
  <c r="O113" i="11" s="1"/>
  <c r="E96" i="10"/>
  <c r="J47" i="11" s="1"/>
  <c r="K100" i="10"/>
  <c r="J117" i="11" s="1"/>
  <c r="I100" i="10"/>
  <c r="E117" i="11" s="1"/>
  <c r="E26" i="20" s="1"/>
  <c r="G100" i="10"/>
  <c r="O51" i="11" s="1"/>
  <c r="M100" i="10"/>
  <c r="O117" i="11" s="1"/>
  <c r="E100" i="10"/>
  <c r="J51" i="11" s="1"/>
  <c r="G94" i="10"/>
  <c r="O45" i="11" s="1"/>
  <c r="M94" i="10"/>
  <c r="O111" i="11" s="1"/>
  <c r="E94" i="10"/>
  <c r="J45" i="11" s="1"/>
  <c r="K94" i="10"/>
  <c r="J111" i="11" s="1"/>
  <c r="I94" i="10"/>
  <c r="E111" i="11" s="1"/>
  <c r="E20" i="20" s="1"/>
  <c r="G98" i="10"/>
  <c r="O49" i="11" s="1"/>
  <c r="M98" i="10"/>
  <c r="O115" i="11" s="1"/>
  <c r="E98" i="10"/>
  <c r="J49" i="11" s="1"/>
  <c r="K98" i="10"/>
  <c r="J115" i="11" s="1"/>
  <c r="I98" i="10"/>
  <c r="E115" i="11" s="1"/>
  <c r="E24" i="20" s="1"/>
  <c r="I105" i="10"/>
  <c r="E122" i="11" s="1"/>
  <c r="E31" i="20" s="1"/>
  <c r="G105" i="10"/>
  <c r="O56" i="11" s="1"/>
  <c r="M105" i="10"/>
  <c r="O122" i="11" s="1"/>
  <c r="E105" i="10"/>
  <c r="J56" i="11" s="1"/>
  <c r="K105" i="10"/>
  <c r="J122" i="11" s="1"/>
  <c r="M103" i="10"/>
  <c r="O120" i="11" s="1"/>
  <c r="E103" i="10"/>
  <c r="J54" i="11" s="1"/>
  <c r="K103" i="10"/>
  <c r="J120" i="11" s="1"/>
  <c r="I103" i="10"/>
  <c r="E120" i="11" s="1"/>
  <c r="E29" i="20" s="1"/>
  <c r="G103" i="10"/>
  <c r="O54" i="11" s="1"/>
  <c r="K88" i="10"/>
  <c r="J105" i="11" s="1"/>
  <c r="I88" i="10"/>
  <c r="E105" i="11" s="1"/>
  <c r="E14" i="20" s="1"/>
  <c r="G88" i="10"/>
  <c r="O39" i="11" s="1"/>
  <c r="M88" i="10"/>
  <c r="O105" i="11" s="1"/>
  <c r="E88" i="10"/>
  <c r="J39" i="11" s="1"/>
  <c r="K92" i="10"/>
  <c r="J109" i="11" s="1"/>
  <c r="I92" i="10"/>
  <c r="E109" i="11" s="1"/>
  <c r="E18" i="20" s="1"/>
  <c r="G92" i="10"/>
  <c r="O43" i="11" s="1"/>
  <c r="M92" i="10"/>
  <c r="O109" i="11" s="1"/>
  <c r="E92" i="10"/>
  <c r="J43" i="11" s="1"/>
  <c r="G86" i="10"/>
  <c r="O37" i="11" s="1"/>
  <c r="M86" i="10"/>
  <c r="O103" i="11" s="1"/>
  <c r="E86" i="10"/>
  <c r="J37" i="11" s="1"/>
  <c r="K86" i="10"/>
  <c r="J103" i="11" s="1"/>
  <c r="I86" i="10"/>
  <c r="E103" i="11" s="1"/>
  <c r="E12" i="20" s="1"/>
  <c r="M99" i="10"/>
  <c r="O116" i="11" s="1"/>
  <c r="E99" i="10"/>
  <c r="J50" i="11" s="1"/>
  <c r="K99" i="10"/>
  <c r="J116" i="11" s="1"/>
  <c r="I99" i="10"/>
  <c r="E116" i="11" s="1"/>
  <c r="E25" i="20" s="1"/>
  <c r="G99" i="10"/>
  <c r="O50" i="11" s="1"/>
  <c r="I89" i="10"/>
  <c r="E106" i="11" s="1"/>
  <c r="E15" i="20" s="1"/>
  <c r="G89" i="10"/>
  <c r="O40" i="11" s="1"/>
  <c r="M89" i="10"/>
  <c r="O106" i="11" s="1"/>
  <c r="E89" i="10"/>
  <c r="J40" i="11" s="1"/>
  <c r="K89" i="10"/>
  <c r="J106" i="11" s="1"/>
  <c r="M87" i="10"/>
  <c r="O104" i="11" s="1"/>
  <c r="E87" i="10"/>
  <c r="J38" i="11" s="1"/>
  <c r="K87" i="10"/>
  <c r="J104" i="11" s="1"/>
  <c r="I87" i="10"/>
  <c r="E104" i="11" s="1"/>
  <c r="E13" i="20" s="1"/>
  <c r="G87" i="10"/>
  <c r="O38" i="11" s="1"/>
  <c r="I101" i="10"/>
  <c r="E118" i="11" s="1"/>
  <c r="E27" i="20" s="1"/>
  <c r="G101" i="10"/>
  <c r="O52" i="11" s="1"/>
  <c r="M101" i="10"/>
  <c r="O118" i="11" s="1"/>
  <c r="E101" i="10"/>
  <c r="J52" i="11" s="1"/>
  <c r="K101" i="10"/>
  <c r="J118" i="11" s="1"/>
  <c r="K84" i="10"/>
  <c r="J101" i="11" s="1"/>
  <c r="I84" i="10"/>
  <c r="E101" i="11" s="1"/>
  <c r="E10" i="20" s="1"/>
  <c r="G84" i="10"/>
  <c r="O35" i="11" s="1"/>
  <c r="M84" i="10"/>
  <c r="O101" i="11" s="1"/>
  <c r="E84" i="10"/>
  <c r="J35" i="11" s="1"/>
  <c r="G106" i="10"/>
  <c r="O57" i="11" s="1"/>
  <c r="M106" i="10"/>
  <c r="O123" i="11" s="1"/>
  <c r="E106" i="10"/>
  <c r="J57" i="11" s="1"/>
  <c r="K106" i="10"/>
  <c r="J123" i="11" s="1"/>
  <c r="I106" i="10"/>
  <c r="E123" i="11" s="1"/>
  <c r="E32" i="20" s="1"/>
  <c r="K9" i="10"/>
  <c r="M95" i="10"/>
  <c r="O112" i="11" s="1"/>
  <c r="E95" i="10"/>
  <c r="J46" i="11" s="1"/>
  <c r="K95" i="10"/>
  <c r="J112" i="11" s="1"/>
  <c r="I95" i="10"/>
  <c r="E112" i="11" s="1"/>
  <c r="E21" i="20" s="1"/>
  <c r="G95" i="10"/>
  <c r="O46" i="11" s="1"/>
  <c r="I93" i="10"/>
  <c r="E110" i="11" s="1"/>
  <c r="E19" i="20" s="1"/>
  <c r="G93" i="10"/>
  <c r="O44" i="11" s="1"/>
  <c r="M93" i="10"/>
  <c r="O110" i="11" s="1"/>
  <c r="E93" i="10"/>
  <c r="J44" i="11" s="1"/>
  <c r="K93" i="10"/>
  <c r="J110" i="11" s="1"/>
  <c r="K104" i="10"/>
  <c r="J121" i="11" s="1"/>
  <c r="I104" i="10"/>
  <c r="E121" i="11" s="1"/>
  <c r="E30" i="20" s="1"/>
  <c r="G104" i="10"/>
  <c r="O55" i="11" s="1"/>
  <c r="M104" i="10"/>
  <c r="O121" i="11" s="1"/>
  <c r="E104" i="10"/>
  <c r="J55" i="11" s="1"/>
  <c r="G102" i="10"/>
  <c r="O53" i="11" s="1"/>
  <c r="M102" i="10"/>
  <c r="O119" i="11" s="1"/>
  <c r="E102" i="10"/>
  <c r="J53" i="11" s="1"/>
  <c r="K102" i="10"/>
  <c r="J119" i="11" s="1"/>
  <c r="I102" i="10"/>
  <c r="E119" i="11" s="1"/>
  <c r="E28" i="20" s="1"/>
  <c r="G90" i="10"/>
  <c r="O41" i="11" s="1"/>
  <c r="M90" i="10"/>
  <c r="O107" i="11" s="1"/>
  <c r="E90" i="10"/>
  <c r="J41" i="11" s="1"/>
  <c r="K90" i="10"/>
  <c r="J107" i="11" s="1"/>
  <c r="I90" i="10"/>
  <c r="E107" i="11" s="1"/>
  <c r="E16" i="20" s="1"/>
  <c r="D464" i="3"/>
  <c r="J11" i="3"/>
  <c r="D180" i="3" s="1"/>
  <c r="E180" i="3" s="1"/>
  <c r="F180" i="3" s="1"/>
  <c r="E185" i="3"/>
  <c r="F185" i="3" s="1"/>
  <c r="J28" i="3"/>
  <c r="D186" i="3" s="1"/>
  <c r="J18" i="3"/>
  <c r="D182" i="3" s="1"/>
  <c r="E182" i="3" s="1"/>
  <c r="E183" i="3"/>
  <c r="F183" i="3" s="1"/>
  <c r="J23" i="3"/>
  <c r="D184" i="3" s="1"/>
  <c r="J19" i="1"/>
  <c r="N19" i="1" s="1"/>
  <c r="N138" i="1" s="1"/>
  <c r="C67" i="15"/>
  <c r="D67" i="15" s="1"/>
  <c r="L191" i="15"/>
  <c r="M83" i="10"/>
  <c r="N190" i="15"/>
  <c r="AC121" i="15"/>
  <c r="AA122" i="15"/>
  <c r="AA123" i="15" s="1"/>
  <c r="AC81" i="15"/>
  <c r="C176" i="15"/>
  <c r="D176" i="15" s="1"/>
  <c r="M176" i="15" s="1"/>
  <c r="E83" i="10"/>
  <c r="G83" i="10"/>
  <c r="I83" i="10"/>
  <c r="K83" i="10"/>
  <c r="T82" i="15"/>
  <c r="T81" i="15"/>
  <c r="S64" i="15"/>
  <c r="T64" i="15" s="1"/>
  <c r="S65" i="15"/>
  <c r="AB65" i="15" s="1"/>
  <c r="N119" i="15"/>
  <c r="F181" i="3"/>
  <c r="AB119" i="15"/>
  <c r="S66" i="15"/>
  <c r="T66" i="15" s="1"/>
  <c r="G20" i="7"/>
  <c r="M120" i="15"/>
  <c r="L138" i="15"/>
  <c r="O138" i="15" s="1"/>
  <c r="S67" i="15"/>
  <c r="T67" i="15" s="1"/>
  <c r="N137" i="15"/>
  <c r="F76" i="6"/>
  <c r="D87" i="6" s="1"/>
  <c r="E105" i="9"/>
  <c r="H105" i="9" s="1"/>
  <c r="T118" i="15"/>
  <c r="C137" i="15"/>
  <c r="D137" i="15" s="1"/>
  <c r="E137" i="15" s="1"/>
  <c r="C192" i="15"/>
  <c r="D192" i="15" s="1"/>
  <c r="E192" i="15" s="1"/>
  <c r="C83" i="15"/>
  <c r="D83" i="15" s="1"/>
  <c r="M83" i="15" s="1"/>
  <c r="O119" i="15"/>
  <c r="I17" i="7"/>
  <c r="J17" i="7" s="1"/>
  <c r="K17" i="7" s="1"/>
  <c r="C45" i="7" s="1"/>
  <c r="H38" i="15"/>
  <c r="C68" i="15" s="1"/>
  <c r="D68" i="15" s="1"/>
  <c r="L120" i="15"/>
  <c r="O120" i="15" s="1"/>
  <c r="G18" i="7"/>
  <c r="G19" i="7"/>
  <c r="J65" i="7"/>
  <c r="K65" i="7"/>
  <c r="M81" i="15"/>
  <c r="E82" i="15"/>
  <c r="AB192" i="15"/>
  <c r="T192" i="15"/>
  <c r="E176" i="15"/>
  <c r="AB83" i="15"/>
  <c r="T83" i="15"/>
  <c r="O177" i="15"/>
  <c r="N177" i="15"/>
  <c r="L178" i="15"/>
  <c r="AB176" i="15"/>
  <c r="T176" i="15"/>
  <c r="AB136" i="15"/>
  <c r="T136" i="15"/>
  <c r="T134" i="15"/>
  <c r="AB134" i="15"/>
  <c r="AD136" i="15"/>
  <c r="AC136" i="15"/>
  <c r="AA137" i="15"/>
  <c r="E121" i="15"/>
  <c r="M121" i="15"/>
  <c r="T137" i="15"/>
  <c r="AB137" i="15"/>
  <c r="AB189" i="15"/>
  <c r="T189" i="15"/>
  <c r="AB173" i="15"/>
  <c r="T173" i="15"/>
  <c r="E65" i="15"/>
  <c r="M65" i="15"/>
  <c r="AC66" i="15"/>
  <c r="AD66" i="15"/>
  <c r="AA67" i="15"/>
  <c r="T191" i="15"/>
  <c r="AB191" i="15"/>
  <c r="AA83" i="15"/>
  <c r="AC82" i="15"/>
  <c r="AD82" i="15"/>
  <c r="N68" i="15"/>
  <c r="L69" i="15"/>
  <c r="O68" i="15"/>
  <c r="M67" i="15"/>
  <c r="E67" i="15"/>
  <c r="M173" i="15"/>
  <c r="E173" i="15"/>
  <c r="E64" i="15"/>
  <c r="M64" i="15"/>
  <c r="AD193" i="15"/>
  <c r="AC193" i="15"/>
  <c r="AA194" i="15"/>
  <c r="R122" i="15"/>
  <c r="S122" i="15" s="1"/>
  <c r="R84" i="15"/>
  <c r="S84" i="15" s="1"/>
  <c r="W39" i="15"/>
  <c r="R177" i="15"/>
  <c r="S177" i="15" s="1"/>
  <c r="R193" i="15"/>
  <c r="S193" i="15" s="1"/>
  <c r="R138" i="15"/>
  <c r="S138" i="15" s="1"/>
  <c r="R68" i="15"/>
  <c r="S68" i="15" s="1"/>
  <c r="N83" i="15"/>
  <c r="L84" i="15"/>
  <c r="O83" i="15"/>
  <c r="M189" i="15"/>
  <c r="E189" i="15"/>
  <c r="M134" i="15"/>
  <c r="E134" i="15"/>
  <c r="E135" i="15"/>
  <c r="M135" i="15"/>
  <c r="E66" i="15"/>
  <c r="M66" i="15"/>
  <c r="E175" i="15"/>
  <c r="M175" i="15"/>
  <c r="AD122" i="15"/>
  <c r="AC122" i="15"/>
  <c r="M190" i="15"/>
  <c r="E190" i="15"/>
  <c r="AB190" i="15"/>
  <c r="T190" i="15"/>
  <c r="M136" i="15"/>
  <c r="E136" i="15"/>
  <c r="AB121" i="15"/>
  <c r="T121" i="15"/>
  <c r="E191" i="15"/>
  <c r="M191" i="15"/>
  <c r="T174" i="15"/>
  <c r="AB174" i="15"/>
  <c r="M174" i="15"/>
  <c r="E174" i="15"/>
  <c r="AC176" i="15"/>
  <c r="AA177" i="15"/>
  <c r="AD176" i="15"/>
  <c r="AB175" i="15"/>
  <c r="T175" i="15"/>
  <c r="T135" i="15"/>
  <c r="AB135" i="15"/>
  <c r="O191" i="15"/>
  <c r="N191" i="15"/>
  <c r="L192" i="15"/>
  <c r="M143" i="10" l="1"/>
  <c r="D14" i="11" s="1"/>
  <c r="A23" i="6"/>
  <c r="F23" i="6" s="1"/>
  <c r="F26" i="6" s="1"/>
  <c r="E100" i="11"/>
  <c r="E9" i="20" s="1"/>
  <c r="I143" i="10"/>
  <c r="D12" i="11" s="1"/>
  <c r="N310" i="9"/>
  <c r="O310" i="9" s="1"/>
  <c r="K310" i="9"/>
  <c r="L310" i="9" s="1"/>
  <c r="H310" i="9"/>
  <c r="I310" i="9" s="1"/>
  <c r="E310" i="9"/>
  <c r="F310" i="9" s="1"/>
  <c r="K214" i="9"/>
  <c r="L214" i="9" s="1"/>
  <c r="H214" i="9"/>
  <c r="I214" i="9" s="1"/>
  <c r="E214" i="9"/>
  <c r="F214" i="9" s="1"/>
  <c r="J100" i="11"/>
  <c r="J160" i="11" s="1"/>
  <c r="K143" i="10"/>
  <c r="D13" i="11" s="1"/>
  <c r="J34" i="11"/>
  <c r="E143" i="10"/>
  <c r="D10" i="11" s="1"/>
  <c r="O34" i="11"/>
  <c r="G143" i="10"/>
  <c r="D11" i="11" s="1"/>
  <c r="K267" i="9"/>
  <c r="L267" i="9" s="1"/>
  <c r="N140" i="11" s="1"/>
  <c r="N267" i="9"/>
  <c r="O267" i="9" s="1"/>
  <c r="H267" i="9"/>
  <c r="I267" i="9" s="1"/>
  <c r="I140" i="11" s="1"/>
  <c r="E267" i="9"/>
  <c r="F267" i="9" s="1"/>
  <c r="D140" i="11" s="1"/>
  <c r="D49" i="20" s="1"/>
  <c r="K171" i="9"/>
  <c r="L171" i="9" s="1"/>
  <c r="N74" i="11" s="1"/>
  <c r="H171" i="9"/>
  <c r="E171" i="9"/>
  <c r="F171" i="9" s="1"/>
  <c r="I151" i="9"/>
  <c r="I54" i="11"/>
  <c r="D466" i="3"/>
  <c r="F466" i="3" s="1"/>
  <c r="D24" i="9" s="1"/>
  <c r="H24" i="9" s="1"/>
  <c r="D470" i="3"/>
  <c r="F470" i="3" s="1"/>
  <c r="D28" i="9" s="1"/>
  <c r="H28" i="9" s="1"/>
  <c r="D468" i="3"/>
  <c r="F468" i="3" s="1"/>
  <c r="D26" i="9" s="1"/>
  <c r="H26" i="9" s="1"/>
  <c r="D465" i="3"/>
  <c r="E186" i="3"/>
  <c r="F186" i="3" s="1"/>
  <c r="D471" i="3" s="1"/>
  <c r="F471" i="3" s="1"/>
  <c r="D29" i="9" s="1"/>
  <c r="H29" i="9" s="1"/>
  <c r="E184" i="3"/>
  <c r="F184" i="3" s="1"/>
  <c r="D469" i="3" s="1"/>
  <c r="F469" i="3" s="1"/>
  <c r="D27" i="9" s="1"/>
  <c r="H27" i="9" s="1"/>
  <c r="F182" i="3"/>
  <c r="D15" i="11"/>
  <c r="H26" i="11"/>
  <c r="H22" i="11"/>
  <c r="H23" i="11"/>
  <c r="H24" i="11"/>
  <c r="H25" i="11"/>
  <c r="O100" i="11"/>
  <c r="O160" i="11" s="1"/>
  <c r="AB64" i="15"/>
  <c r="E160" i="11"/>
  <c r="E69" i="20" s="1"/>
  <c r="T65" i="15"/>
  <c r="O94" i="11"/>
  <c r="J94" i="11"/>
  <c r="N138" i="15"/>
  <c r="C84" i="15"/>
  <c r="D84" i="15" s="1"/>
  <c r="E84" i="15" s="1"/>
  <c r="AB66" i="15"/>
  <c r="AB67" i="15"/>
  <c r="M192" i="15"/>
  <c r="M137" i="15"/>
  <c r="L139" i="15"/>
  <c r="N139" i="15" s="1"/>
  <c r="E94" i="11"/>
  <c r="F27" i="6"/>
  <c r="C87" i="6" s="1"/>
  <c r="E87" i="6" s="1"/>
  <c r="E86" i="9"/>
  <c r="H86" i="9" s="1"/>
  <c r="N120" i="15"/>
  <c r="L121" i="15"/>
  <c r="L122" i="15" s="1"/>
  <c r="E83" i="15"/>
  <c r="C122" i="15"/>
  <c r="D122" i="15" s="1"/>
  <c r="E122" i="15" s="1"/>
  <c r="C138" i="15"/>
  <c r="D138" i="15" s="1"/>
  <c r="E138" i="15" s="1"/>
  <c r="C193" i="15"/>
  <c r="D193" i="15" s="1"/>
  <c r="E193" i="15" s="1"/>
  <c r="C177" i="15"/>
  <c r="D177" i="15" s="1"/>
  <c r="M177" i="15" s="1"/>
  <c r="H39" i="15"/>
  <c r="C178" i="15" s="1"/>
  <c r="D178" i="15" s="1"/>
  <c r="F71" i="7"/>
  <c r="G71" i="7" s="1"/>
  <c r="F73" i="7"/>
  <c r="G73" i="7" s="1"/>
  <c r="F74" i="7"/>
  <c r="G74" i="7" s="1"/>
  <c r="F76" i="7"/>
  <c r="G76" i="7" s="1"/>
  <c r="F75" i="7"/>
  <c r="G75" i="7" s="1"/>
  <c r="F72" i="7"/>
  <c r="G72" i="7" s="1"/>
  <c r="N84" i="15"/>
  <c r="O84" i="15"/>
  <c r="L85" i="15"/>
  <c r="AB122" i="15"/>
  <c r="T122" i="15"/>
  <c r="AA68" i="15"/>
  <c r="AD67" i="15"/>
  <c r="AC67" i="15"/>
  <c r="N178" i="15"/>
  <c r="O178" i="15"/>
  <c r="L179" i="15"/>
  <c r="N121" i="15"/>
  <c r="R194" i="15"/>
  <c r="S194" i="15" s="1"/>
  <c r="R139" i="15"/>
  <c r="S139" i="15" s="1"/>
  <c r="W40" i="15"/>
  <c r="R178" i="15"/>
  <c r="S178" i="15" s="1"/>
  <c r="R123" i="15"/>
  <c r="S123" i="15" s="1"/>
  <c r="R69" i="15"/>
  <c r="S69" i="15" s="1"/>
  <c r="R85" i="15"/>
  <c r="S85" i="15" s="1"/>
  <c r="AA138" i="15"/>
  <c r="AD137" i="15"/>
  <c r="AC137" i="15"/>
  <c r="AC123" i="15"/>
  <c r="AA124" i="15"/>
  <c r="AD123" i="15"/>
  <c r="AB68" i="15"/>
  <c r="T68" i="15"/>
  <c r="O69" i="15"/>
  <c r="N69" i="15"/>
  <c r="L70" i="15"/>
  <c r="AC177" i="15"/>
  <c r="AD177" i="15"/>
  <c r="AA178" i="15"/>
  <c r="AB138" i="15"/>
  <c r="T138" i="15"/>
  <c r="M68" i="15"/>
  <c r="E68" i="15"/>
  <c r="T177" i="15"/>
  <c r="AB177" i="15"/>
  <c r="AD83" i="15"/>
  <c r="AA84" i="15"/>
  <c r="AC83" i="15"/>
  <c r="AB84" i="15"/>
  <c r="T84" i="15"/>
  <c r="AC194" i="15"/>
  <c r="AD194" i="15"/>
  <c r="AA195" i="15"/>
  <c r="N192" i="15"/>
  <c r="L193" i="15"/>
  <c r="O192" i="15"/>
  <c r="T193" i="15"/>
  <c r="AB193" i="15"/>
  <c r="I105" i="9" l="1"/>
  <c r="N291" i="9"/>
  <c r="O291" i="9" s="1"/>
  <c r="K291" i="9"/>
  <c r="L291" i="9" s="1"/>
  <c r="H291" i="9"/>
  <c r="I291" i="9" s="1"/>
  <c r="E291" i="9"/>
  <c r="F291" i="9" s="1"/>
  <c r="K195" i="9"/>
  <c r="L195" i="9" s="1"/>
  <c r="H195" i="9"/>
  <c r="I195" i="9" s="1"/>
  <c r="E195" i="9"/>
  <c r="F195" i="9" s="1"/>
  <c r="F465" i="3"/>
  <c r="D23" i="9" s="1"/>
  <c r="H23" i="9" s="1"/>
  <c r="K231" i="9"/>
  <c r="L231" i="9" s="1"/>
  <c r="N104" i="11" s="1"/>
  <c r="N231" i="9"/>
  <c r="O231" i="9" s="1"/>
  <c r="H231" i="9"/>
  <c r="I231" i="9" s="1"/>
  <c r="I104" i="11" s="1"/>
  <c r="K135" i="9"/>
  <c r="L135" i="9" s="1"/>
  <c r="N38" i="11" s="1"/>
  <c r="E231" i="9"/>
  <c r="F231" i="9" s="1"/>
  <c r="D104" i="11" s="1"/>
  <c r="D13" i="20" s="1"/>
  <c r="H135" i="9"/>
  <c r="E135" i="9"/>
  <c r="F135" i="9" s="1"/>
  <c r="I171" i="9"/>
  <c r="I74" i="11"/>
  <c r="E234" i="9"/>
  <c r="F234" i="9" s="1"/>
  <c r="D107" i="11" s="1"/>
  <c r="D16" i="20" s="1"/>
  <c r="K234" i="9"/>
  <c r="L234" i="9" s="1"/>
  <c r="N107" i="11" s="1"/>
  <c r="N234" i="9"/>
  <c r="O234" i="9" s="1"/>
  <c r="H234" i="9"/>
  <c r="I234" i="9" s="1"/>
  <c r="I107" i="11" s="1"/>
  <c r="H138" i="9"/>
  <c r="K138" i="9"/>
  <c r="L138" i="9" s="1"/>
  <c r="N41" i="11" s="1"/>
  <c r="E138" i="9"/>
  <c r="F138" i="9" s="1"/>
  <c r="N229" i="9"/>
  <c r="O229" i="9" s="1"/>
  <c r="H229" i="9"/>
  <c r="I229" i="9" s="1"/>
  <c r="I102" i="11" s="1"/>
  <c r="K133" i="9"/>
  <c r="L133" i="9" s="1"/>
  <c r="N36" i="11" s="1"/>
  <c r="E229" i="9"/>
  <c r="F229" i="9" s="1"/>
  <c r="D102" i="11" s="1"/>
  <c r="D11" i="20" s="1"/>
  <c r="K229" i="9"/>
  <c r="L229" i="9" s="1"/>
  <c r="N102" i="11" s="1"/>
  <c r="E133" i="9"/>
  <c r="F133" i="9" s="1"/>
  <c r="H133" i="9"/>
  <c r="N232" i="9"/>
  <c r="O232" i="9" s="1"/>
  <c r="H232" i="9"/>
  <c r="I232" i="9" s="1"/>
  <c r="I105" i="11" s="1"/>
  <c r="K136" i="9"/>
  <c r="L136" i="9" s="1"/>
  <c r="N39" i="11" s="1"/>
  <c r="E232" i="9"/>
  <c r="F232" i="9" s="1"/>
  <c r="D105" i="11" s="1"/>
  <c r="D14" i="20" s="1"/>
  <c r="K232" i="9"/>
  <c r="L232" i="9" s="1"/>
  <c r="N105" i="11" s="1"/>
  <c r="H136" i="9"/>
  <c r="E136" i="9"/>
  <c r="F136" i="9" s="1"/>
  <c r="N233" i="9"/>
  <c r="O233" i="9" s="1"/>
  <c r="H233" i="9"/>
  <c r="I233" i="9" s="1"/>
  <c r="I106" i="11" s="1"/>
  <c r="K137" i="9"/>
  <c r="L137" i="9" s="1"/>
  <c r="N40" i="11" s="1"/>
  <c r="E233" i="9"/>
  <c r="F233" i="9" s="1"/>
  <c r="D106" i="11" s="1"/>
  <c r="D15" i="20" s="1"/>
  <c r="K233" i="9"/>
  <c r="L233" i="9" s="1"/>
  <c r="N106" i="11" s="1"/>
  <c r="E137" i="9"/>
  <c r="F137" i="9" s="1"/>
  <c r="H137" i="9"/>
  <c r="G179" i="3"/>
  <c r="H179" i="3" s="1"/>
  <c r="D467" i="3"/>
  <c r="O139" i="15"/>
  <c r="L140" i="15"/>
  <c r="M84" i="15"/>
  <c r="C85" i="15"/>
  <c r="D85" i="15" s="1"/>
  <c r="M85" i="15" s="1"/>
  <c r="M122" i="15"/>
  <c r="M193" i="15"/>
  <c r="O121" i="15"/>
  <c r="C81" i="6"/>
  <c r="F87" i="6" s="1"/>
  <c r="M138" i="15"/>
  <c r="E177" i="15"/>
  <c r="H40" i="15"/>
  <c r="C195" i="15" s="1"/>
  <c r="D195" i="15" s="1"/>
  <c r="C123" i="15"/>
  <c r="D123" i="15" s="1"/>
  <c r="M123" i="15" s="1"/>
  <c r="O140" i="15"/>
  <c r="O141" i="15" s="1"/>
  <c r="N140" i="15"/>
  <c r="L141" i="15"/>
  <c r="N141" i="15" s="1"/>
  <c r="C139" i="15"/>
  <c r="D139" i="15" s="1"/>
  <c r="E139" i="15" s="1"/>
  <c r="C69" i="15"/>
  <c r="D69" i="15" s="1"/>
  <c r="M69" i="15" s="1"/>
  <c r="C194" i="15"/>
  <c r="D194" i="15" s="1"/>
  <c r="M194" i="15" s="1"/>
  <c r="AD68" i="15"/>
  <c r="AC68" i="15"/>
  <c r="AA69" i="15"/>
  <c r="AB123" i="15"/>
  <c r="T123" i="15"/>
  <c r="M178" i="15"/>
  <c r="E178" i="15"/>
  <c r="AB139" i="15"/>
  <c r="T139" i="15"/>
  <c r="AD178" i="15"/>
  <c r="AA179" i="15"/>
  <c r="AC178" i="15"/>
  <c r="AB194" i="15"/>
  <c r="T194" i="15"/>
  <c r="N193" i="15"/>
  <c r="O193" i="15"/>
  <c r="L194" i="15"/>
  <c r="AC124" i="15"/>
  <c r="AA125" i="15"/>
  <c r="AC125" i="15" s="1"/>
  <c r="AD124" i="15"/>
  <c r="AD125" i="15" s="1"/>
  <c r="O85" i="15"/>
  <c r="N85" i="15"/>
  <c r="L86" i="15"/>
  <c r="AC138" i="15"/>
  <c r="AD138" i="15"/>
  <c r="AA139" i="15"/>
  <c r="T69" i="15"/>
  <c r="AB69" i="15"/>
  <c r="AC195" i="15"/>
  <c r="AA196" i="15"/>
  <c r="AC196" i="15" s="1"/>
  <c r="AD195" i="15"/>
  <c r="AD196" i="15" s="1"/>
  <c r="AB178" i="15"/>
  <c r="T178" i="15"/>
  <c r="W41" i="15"/>
  <c r="R195" i="15"/>
  <c r="S195" i="15" s="1"/>
  <c r="R179" i="15"/>
  <c r="S179" i="15" s="1"/>
  <c r="R140" i="15"/>
  <c r="S140" i="15" s="1"/>
  <c r="R70" i="15"/>
  <c r="R124" i="15"/>
  <c r="S124" i="15" s="1"/>
  <c r="R86" i="15"/>
  <c r="S86" i="15" s="1"/>
  <c r="O70" i="15"/>
  <c r="O71" i="15" s="1"/>
  <c r="L71" i="15"/>
  <c r="N71" i="15" s="1"/>
  <c r="N70" i="15"/>
  <c r="L180" i="15"/>
  <c r="N180" i="15" s="1"/>
  <c r="O179" i="15"/>
  <c r="O180" i="15" s="1"/>
  <c r="N179" i="15"/>
  <c r="AD84" i="15"/>
  <c r="AC84" i="15"/>
  <c r="AA85" i="15"/>
  <c r="AB85" i="15"/>
  <c r="T85" i="15"/>
  <c r="O122" i="15"/>
  <c r="L123" i="15"/>
  <c r="N122" i="15"/>
  <c r="E228" i="9" l="1"/>
  <c r="F228" i="9" s="1"/>
  <c r="D101" i="11" s="1"/>
  <c r="D10" i="20" s="1"/>
  <c r="H228" i="9"/>
  <c r="I228" i="9" s="1"/>
  <c r="I101" i="11" s="1"/>
  <c r="N228" i="9"/>
  <c r="O228" i="9" s="1"/>
  <c r="H132" i="9"/>
  <c r="I35" i="11" s="1"/>
  <c r="K228" i="9"/>
  <c r="L228" i="9" s="1"/>
  <c r="N101" i="11" s="1"/>
  <c r="E132" i="9"/>
  <c r="F132" i="9" s="1"/>
  <c r="K132" i="9"/>
  <c r="L132" i="9" s="1"/>
  <c r="N35" i="11" s="1"/>
  <c r="I137" i="9"/>
  <c r="I40" i="11"/>
  <c r="I136" i="9"/>
  <c r="I39" i="11"/>
  <c r="I132" i="9"/>
  <c r="I138" i="9"/>
  <c r="I41" i="11"/>
  <c r="I135" i="9"/>
  <c r="I38" i="11"/>
  <c r="F467" i="3"/>
  <c r="I133" i="9"/>
  <c r="I36" i="11"/>
  <c r="E85" i="15"/>
  <c r="D15" i="9"/>
  <c r="D16" i="9"/>
  <c r="D11" i="9"/>
  <c r="D12" i="9"/>
  <c r="D13" i="9"/>
  <c r="D14" i="9"/>
  <c r="C124" i="15"/>
  <c r="D124" i="15" s="1"/>
  <c r="E124" i="15" s="1"/>
  <c r="B127" i="15" s="1"/>
  <c r="H41" i="15"/>
  <c r="C140" i="15"/>
  <c r="D140" i="15" s="1"/>
  <c r="M140" i="15" s="1"/>
  <c r="C70" i="15"/>
  <c r="C87" i="15" s="1"/>
  <c r="E194" i="15"/>
  <c r="C86" i="15"/>
  <c r="D86" i="15" s="1"/>
  <c r="M86" i="15" s="1"/>
  <c r="C179" i="15"/>
  <c r="D179" i="15" s="1"/>
  <c r="M179" i="15" s="1"/>
  <c r="E123" i="15"/>
  <c r="E69" i="15"/>
  <c r="D10" i="9"/>
  <c r="G87" i="6"/>
  <c r="M139" i="15"/>
  <c r="AB195" i="15"/>
  <c r="T195" i="15"/>
  <c r="Q198" i="15" s="1"/>
  <c r="AD85" i="15"/>
  <c r="AA86" i="15"/>
  <c r="AC85" i="15"/>
  <c r="O194" i="15"/>
  <c r="N194" i="15"/>
  <c r="L195" i="15"/>
  <c r="N86" i="15"/>
  <c r="L87" i="15"/>
  <c r="N87" i="15" s="1"/>
  <c r="O86" i="15"/>
  <c r="O87" i="15" s="1"/>
  <c r="AD69" i="15"/>
  <c r="AA70" i="15"/>
  <c r="AC69" i="15"/>
  <c r="R180" i="15"/>
  <c r="R71" i="15"/>
  <c r="R196" i="15"/>
  <c r="R141" i="15"/>
  <c r="R125" i="15"/>
  <c r="R87" i="15"/>
  <c r="S70" i="15"/>
  <c r="AB140" i="15"/>
  <c r="T140" i="15"/>
  <c r="Q143" i="15" s="1"/>
  <c r="AD139" i="15"/>
  <c r="AA140" i="15"/>
  <c r="AC139" i="15"/>
  <c r="AB86" i="15"/>
  <c r="T86" i="15"/>
  <c r="Q89" i="15" s="1"/>
  <c r="L124" i="15"/>
  <c r="N123" i="15"/>
  <c r="O123" i="15"/>
  <c r="AB124" i="15"/>
  <c r="T124" i="15"/>
  <c r="Q127" i="15" s="1"/>
  <c r="M195" i="15"/>
  <c r="E195" i="15"/>
  <c r="B198" i="15" s="1"/>
  <c r="T179" i="15"/>
  <c r="Q182" i="15" s="1"/>
  <c r="AB179" i="15"/>
  <c r="AD179" i="15"/>
  <c r="AD180" i="15" s="1"/>
  <c r="AC179" i="15"/>
  <c r="AA180" i="15"/>
  <c r="AC180" i="15" s="1"/>
  <c r="D25" i="9" l="1"/>
  <c r="H25" i="9" s="1"/>
  <c r="M124" i="15"/>
  <c r="C125" i="15"/>
  <c r="C141" i="15"/>
  <c r="E179" i="15"/>
  <c r="B182" i="15" s="1"/>
  <c r="E86" i="15"/>
  <c r="B89" i="15" s="1"/>
  <c r="C196" i="15"/>
  <c r="C180" i="15"/>
  <c r="C71" i="15"/>
  <c r="E140" i="15"/>
  <c r="B143" i="15" s="1"/>
  <c r="D70" i="15"/>
  <c r="E70" i="15" s="1"/>
  <c r="B73" i="15" s="1"/>
  <c r="AD70" i="15"/>
  <c r="AD71" i="15" s="1"/>
  <c r="AC70" i="15"/>
  <c r="AA71" i="15"/>
  <c r="AC71" i="15" s="1"/>
  <c r="AD86" i="15"/>
  <c r="AD87" i="15" s="1"/>
  <c r="AC86" i="15"/>
  <c r="AA87" i="15"/>
  <c r="AC87" i="15" s="1"/>
  <c r="O195" i="15"/>
  <c r="O196" i="15" s="1"/>
  <c r="N195" i="15"/>
  <c r="L196" i="15"/>
  <c r="N196" i="15" s="1"/>
  <c r="O124" i="15"/>
  <c r="O125" i="15" s="1"/>
  <c r="N124" i="15"/>
  <c r="L125" i="15"/>
  <c r="N125" i="15" s="1"/>
  <c r="T70" i="15"/>
  <c r="Q73" i="15" s="1"/>
  <c r="AB70" i="15"/>
  <c r="AA141" i="15"/>
  <c r="AC141" i="15" s="1"/>
  <c r="AC140" i="15"/>
  <c r="AD140" i="15"/>
  <c r="AD141" i="15" s="1"/>
  <c r="E230" i="9" l="1"/>
  <c r="F230" i="9" s="1"/>
  <c r="D103" i="11" s="1"/>
  <c r="D12" i="20" s="1"/>
  <c r="K230" i="9"/>
  <c r="L230" i="9" s="1"/>
  <c r="N103" i="11" s="1"/>
  <c r="N230" i="9"/>
  <c r="O230" i="9" s="1"/>
  <c r="H230" i="9"/>
  <c r="I230" i="9" s="1"/>
  <c r="I103" i="11" s="1"/>
  <c r="K134" i="9"/>
  <c r="L134" i="9" s="1"/>
  <c r="N37" i="11" s="1"/>
  <c r="H134" i="9"/>
  <c r="E134" i="9"/>
  <c r="F134" i="9" s="1"/>
  <c r="M70" i="15"/>
  <c r="I134" i="9" l="1"/>
  <c r="I37" i="11"/>
  <c r="E411" i="3"/>
  <c r="F411" i="3" s="1"/>
  <c r="E464" i="3" s="1"/>
  <c r="F464" i="3" s="1"/>
  <c r="G464" i="3" s="1"/>
  <c r="H464" i="3" s="1"/>
  <c r="G411" i="3" l="1"/>
  <c r="H411" i="3" s="1"/>
  <c r="D22" i="9" l="1"/>
  <c r="H22" i="9" s="1"/>
  <c r="H227" i="9" l="1"/>
  <c r="H311" i="9" s="1"/>
  <c r="H312" i="9" s="1"/>
  <c r="K131" i="9"/>
  <c r="K215" i="9" s="1"/>
  <c r="K216" i="9" s="1"/>
  <c r="E227" i="9"/>
  <c r="E311" i="9" s="1"/>
  <c r="E131" i="9"/>
  <c r="E215" i="9" s="1"/>
  <c r="E216" i="9" s="1"/>
  <c r="H106" i="9"/>
  <c r="I81" i="9"/>
  <c r="H131" i="9"/>
  <c r="N227" i="9"/>
  <c r="K227" i="9"/>
  <c r="C12" i="9"/>
  <c r="G12" i="9" s="1"/>
  <c r="C15" i="9"/>
  <c r="G15" i="9" s="1"/>
  <c r="C16" i="9"/>
  <c r="G16" i="9" s="1"/>
  <c r="C10" i="9"/>
  <c r="G10" i="9" s="1"/>
  <c r="C13" i="9"/>
  <c r="G13" i="9" s="1"/>
  <c r="C11" i="9"/>
  <c r="G11" i="9" s="1"/>
  <c r="C14" i="9"/>
  <c r="G14" i="9" s="1"/>
  <c r="L227" i="9" l="1"/>
  <c r="N100" i="11" s="1"/>
  <c r="N160" i="11" s="1"/>
  <c r="K311" i="9"/>
  <c r="K312" i="9" s="1"/>
  <c r="H215" i="9"/>
  <c r="H216" i="9" s="1"/>
  <c r="I34" i="11"/>
  <c r="E312" i="9"/>
  <c r="F311" i="9"/>
  <c r="O227" i="9"/>
  <c r="N311" i="9"/>
  <c r="N312" i="9" s="1"/>
  <c r="L131" i="9"/>
  <c r="L215" i="9" s="1"/>
  <c r="L216" i="9" s="1"/>
  <c r="I131" i="9"/>
  <c r="G24" i="11"/>
  <c r="I24" i="11" s="1"/>
  <c r="J24" i="11" s="1"/>
  <c r="H122" i="9"/>
  <c r="I122" i="9" s="1"/>
  <c r="G23" i="11"/>
  <c r="I23" i="11" s="1"/>
  <c r="J23" i="11" s="1"/>
  <c r="H121" i="9"/>
  <c r="I121" i="9" s="1"/>
  <c r="I227" i="9"/>
  <c r="I100" i="11" s="1"/>
  <c r="F131" i="9"/>
  <c r="H124" i="9"/>
  <c r="I124" i="9" s="1"/>
  <c r="G26" i="11"/>
  <c r="I26" i="11" s="1"/>
  <c r="J26" i="11" s="1"/>
  <c r="G22" i="11"/>
  <c r="I22" i="11" s="1"/>
  <c r="J22" i="11" s="1"/>
  <c r="H120" i="9"/>
  <c r="I120" i="9" s="1"/>
  <c r="G25" i="11"/>
  <c r="I25" i="11" s="1"/>
  <c r="J25" i="11" s="1"/>
  <c r="H123" i="9"/>
  <c r="I123" i="9" s="1"/>
  <c r="F227" i="9"/>
  <c r="D100" i="11" s="1"/>
  <c r="D9" i="20" s="1"/>
  <c r="I215" i="9" l="1"/>
  <c r="I216" i="9" s="1"/>
  <c r="C10" i="11" s="1"/>
  <c r="H10" i="11" s="1"/>
  <c r="F215" i="9"/>
  <c r="F216" i="9" s="1"/>
  <c r="C9" i="11" s="1"/>
  <c r="H9" i="11" s="1"/>
  <c r="I160" i="11"/>
  <c r="I94" i="11"/>
  <c r="L311" i="9"/>
  <c r="L312" i="9"/>
  <c r="C14" i="11" s="1"/>
  <c r="H14" i="11" s="1"/>
  <c r="O312" i="9"/>
  <c r="C15" i="11" s="1"/>
  <c r="H15" i="11" s="1"/>
  <c r="O311" i="9"/>
  <c r="F312" i="9"/>
  <c r="C12" i="11" s="1"/>
  <c r="H12" i="11" s="1"/>
  <c r="D160" i="11"/>
  <c r="D69" i="20" s="1"/>
  <c r="D94" i="11"/>
  <c r="I311" i="9"/>
  <c r="I312" i="9"/>
  <c r="C13" i="11" s="1"/>
  <c r="H13" i="11" s="1"/>
  <c r="N34" i="11"/>
  <c r="C11" i="11"/>
  <c r="H11" i="11" s="1"/>
  <c r="N94" i="11" l="1"/>
  <c r="L93" i="8"/>
  <c r="P34" i="11" s="1"/>
  <c r="M93" i="8"/>
  <c r="F100" i="11" s="1"/>
  <c r="F9" i="20" s="1"/>
  <c r="K93" i="8"/>
  <c r="K34" i="11" s="1"/>
  <c r="N93" i="8"/>
  <c r="K100" i="11" s="1"/>
  <c r="K160" i="11" s="1"/>
  <c r="O93" i="8"/>
  <c r="P100" i="11" s="1"/>
  <c r="O153" i="8"/>
  <c r="E14" i="11" s="1"/>
  <c r="G14" i="11" s="1"/>
  <c r="C26" i="11" s="1"/>
  <c r="K26" i="11" s="1"/>
  <c r="N153" i="8"/>
  <c r="E13" i="11" s="1"/>
  <c r="G13" i="11" s="1"/>
  <c r="C25" i="11" s="1"/>
  <c r="K25" i="11" s="1"/>
  <c r="L153" i="8"/>
  <c r="E11" i="11" s="1"/>
  <c r="G11" i="11" s="1"/>
  <c r="C23" i="11" s="1"/>
  <c r="K23" i="11" s="1"/>
  <c r="R34" i="11" s="1"/>
  <c r="J180" i="11" s="1"/>
  <c r="K180" i="11" s="1"/>
  <c r="K153" i="8"/>
  <c r="E10" i="11" s="1"/>
  <c r="G10" i="11" s="1"/>
  <c r="C22" i="11" s="1"/>
  <c r="K22" i="11" s="1"/>
  <c r="E15" i="11"/>
  <c r="G15" i="11" s="1"/>
  <c r="M153" i="8"/>
  <c r="E12" i="11" s="1"/>
  <c r="G12" i="11" s="1"/>
  <c r="C24" i="11" s="1"/>
  <c r="K24" i="11" s="1"/>
  <c r="H101" i="11" l="1"/>
  <c r="H147" i="11"/>
  <c r="H158" i="11"/>
  <c r="M91" i="11"/>
  <c r="G237" i="11" s="1"/>
  <c r="H237" i="11" s="1"/>
  <c r="M93" i="11"/>
  <c r="G239" i="11" s="1"/>
  <c r="H239" i="11" s="1"/>
  <c r="R152" i="11"/>
  <c r="S232" i="11" s="1"/>
  <c r="T232" i="11" s="1"/>
  <c r="R136" i="11"/>
  <c r="S216" i="11" s="1"/>
  <c r="T216" i="11" s="1"/>
  <c r="R120" i="11"/>
  <c r="S200" i="11" s="1"/>
  <c r="T200" i="11" s="1"/>
  <c r="R104" i="11"/>
  <c r="S184" i="11" s="1"/>
  <c r="T184" i="11" s="1"/>
  <c r="R153" i="11"/>
  <c r="S233" i="11" s="1"/>
  <c r="T233" i="11" s="1"/>
  <c r="R137" i="11"/>
  <c r="S217" i="11" s="1"/>
  <c r="T217" i="11" s="1"/>
  <c r="R121" i="11"/>
  <c r="S201" i="11" s="1"/>
  <c r="T201" i="11" s="1"/>
  <c r="R105" i="11"/>
  <c r="S185" i="11" s="1"/>
  <c r="T185" i="11" s="1"/>
  <c r="R158" i="11"/>
  <c r="S238" i="11" s="1"/>
  <c r="T238" i="11" s="1"/>
  <c r="R142" i="11"/>
  <c r="S222" i="11" s="1"/>
  <c r="T222" i="11" s="1"/>
  <c r="R126" i="11"/>
  <c r="S206" i="11" s="1"/>
  <c r="T206" i="11" s="1"/>
  <c r="R110" i="11"/>
  <c r="S190" i="11" s="1"/>
  <c r="T190" i="11" s="1"/>
  <c r="R159" i="11"/>
  <c r="S239" i="11" s="1"/>
  <c r="T239" i="11" s="1"/>
  <c r="R143" i="11"/>
  <c r="S223" i="11" s="1"/>
  <c r="T223" i="11" s="1"/>
  <c r="R127" i="11"/>
  <c r="S207" i="11" s="1"/>
  <c r="T207" i="11" s="1"/>
  <c r="R111" i="11"/>
  <c r="S191" i="11" s="1"/>
  <c r="T191" i="11" s="1"/>
  <c r="R156" i="11"/>
  <c r="S236" i="11" s="1"/>
  <c r="T236" i="11" s="1"/>
  <c r="R140" i="11"/>
  <c r="S220" i="11" s="1"/>
  <c r="T220" i="11" s="1"/>
  <c r="R124" i="11"/>
  <c r="S204" i="11" s="1"/>
  <c r="T204" i="11" s="1"/>
  <c r="R108" i="11"/>
  <c r="S188" i="11" s="1"/>
  <c r="T188" i="11" s="1"/>
  <c r="R157" i="11"/>
  <c r="S237" i="11" s="1"/>
  <c r="T237" i="11" s="1"/>
  <c r="R141" i="11"/>
  <c r="S221" i="11" s="1"/>
  <c r="T221" i="11" s="1"/>
  <c r="R125" i="11"/>
  <c r="S205" i="11" s="1"/>
  <c r="T205" i="11" s="1"/>
  <c r="R109" i="11"/>
  <c r="S189" i="11" s="1"/>
  <c r="T189" i="11" s="1"/>
  <c r="R146" i="11"/>
  <c r="S226" i="11" s="1"/>
  <c r="T226" i="11" s="1"/>
  <c r="R130" i="11"/>
  <c r="S210" i="11" s="1"/>
  <c r="T210" i="11" s="1"/>
  <c r="R114" i="11"/>
  <c r="S194" i="11" s="1"/>
  <c r="T194" i="11" s="1"/>
  <c r="R147" i="11"/>
  <c r="S227" i="11" s="1"/>
  <c r="T227" i="11" s="1"/>
  <c r="R131" i="11"/>
  <c r="S211" i="11" s="1"/>
  <c r="T211" i="11" s="1"/>
  <c r="R115" i="11"/>
  <c r="S195" i="11" s="1"/>
  <c r="T195" i="11" s="1"/>
  <c r="R144" i="11"/>
  <c r="S224" i="11" s="1"/>
  <c r="T224" i="11" s="1"/>
  <c r="R128" i="11"/>
  <c r="S208" i="11" s="1"/>
  <c r="T208" i="11" s="1"/>
  <c r="R112" i="11"/>
  <c r="S192" i="11" s="1"/>
  <c r="T192" i="11" s="1"/>
  <c r="R145" i="11"/>
  <c r="S225" i="11" s="1"/>
  <c r="T225" i="11" s="1"/>
  <c r="R129" i="11"/>
  <c r="S209" i="11" s="1"/>
  <c r="T209" i="11" s="1"/>
  <c r="R113" i="11"/>
  <c r="S193" i="11" s="1"/>
  <c r="T193" i="11" s="1"/>
  <c r="R150" i="11"/>
  <c r="S230" i="11" s="1"/>
  <c r="T230" i="11" s="1"/>
  <c r="R134" i="11"/>
  <c r="S214" i="11" s="1"/>
  <c r="T214" i="11" s="1"/>
  <c r="R118" i="11"/>
  <c r="S198" i="11" s="1"/>
  <c r="T198" i="11" s="1"/>
  <c r="R102" i="11"/>
  <c r="S182" i="11" s="1"/>
  <c r="T182" i="11" s="1"/>
  <c r="R151" i="11"/>
  <c r="S231" i="11" s="1"/>
  <c r="T231" i="11" s="1"/>
  <c r="R135" i="11"/>
  <c r="S215" i="11" s="1"/>
  <c r="T215" i="11" s="1"/>
  <c r="R119" i="11"/>
  <c r="S199" i="11" s="1"/>
  <c r="T199" i="11" s="1"/>
  <c r="R103" i="11"/>
  <c r="S183" i="11" s="1"/>
  <c r="T183" i="11" s="1"/>
  <c r="R148" i="11"/>
  <c r="S228" i="11" s="1"/>
  <c r="T228" i="11" s="1"/>
  <c r="R132" i="11"/>
  <c r="S212" i="11" s="1"/>
  <c r="T212" i="11" s="1"/>
  <c r="R116" i="11"/>
  <c r="S196" i="11" s="1"/>
  <c r="T196" i="11" s="1"/>
  <c r="R149" i="11"/>
  <c r="S229" i="11" s="1"/>
  <c r="T229" i="11" s="1"/>
  <c r="R133" i="11"/>
  <c r="S213" i="11" s="1"/>
  <c r="T213" i="11" s="1"/>
  <c r="R117" i="11"/>
  <c r="S197" i="11" s="1"/>
  <c r="T197" i="11" s="1"/>
  <c r="R101" i="11"/>
  <c r="S181" i="11" s="1"/>
  <c r="T181" i="11" s="1"/>
  <c r="R154" i="11"/>
  <c r="S234" i="11" s="1"/>
  <c r="T234" i="11" s="1"/>
  <c r="R138" i="11"/>
  <c r="S218" i="11" s="1"/>
  <c r="T218" i="11" s="1"/>
  <c r="R122" i="11"/>
  <c r="S202" i="11" s="1"/>
  <c r="T202" i="11" s="1"/>
  <c r="R106" i="11"/>
  <c r="S186" i="11" s="1"/>
  <c r="T186" i="11" s="1"/>
  <c r="R155" i="11"/>
  <c r="S235" i="11" s="1"/>
  <c r="T235" i="11" s="1"/>
  <c r="R139" i="11"/>
  <c r="S219" i="11" s="1"/>
  <c r="T219" i="11" s="1"/>
  <c r="R123" i="11"/>
  <c r="S203" i="11" s="1"/>
  <c r="T203" i="11" s="1"/>
  <c r="R107" i="11"/>
  <c r="S187" i="11" s="1"/>
  <c r="T187" i="11" s="1"/>
  <c r="R100" i="11"/>
  <c r="S180" i="11" s="1"/>
  <c r="T180" i="11" s="1"/>
  <c r="H146" i="11"/>
  <c r="H130" i="11"/>
  <c r="H114" i="11"/>
  <c r="H131" i="11"/>
  <c r="H115" i="11"/>
  <c r="H152" i="11"/>
  <c r="H136" i="11"/>
  <c r="H120" i="11"/>
  <c r="H104" i="11"/>
  <c r="H153" i="11"/>
  <c r="H137" i="11"/>
  <c r="H121" i="11"/>
  <c r="H105" i="11"/>
  <c r="H150" i="11"/>
  <c r="H134" i="11"/>
  <c r="H118" i="11"/>
  <c r="H102" i="11"/>
  <c r="H151" i="11"/>
  <c r="H135" i="11"/>
  <c r="H119" i="11"/>
  <c r="H103" i="11"/>
  <c r="H156" i="11"/>
  <c r="H140" i="11"/>
  <c r="H124" i="11"/>
  <c r="H108" i="11"/>
  <c r="H157" i="11"/>
  <c r="H141" i="11"/>
  <c r="H125" i="11"/>
  <c r="H109" i="11"/>
  <c r="H154" i="11"/>
  <c r="H138" i="11"/>
  <c r="H122" i="11"/>
  <c r="H106" i="11"/>
  <c r="H155" i="11"/>
  <c r="H139" i="11"/>
  <c r="H123" i="11"/>
  <c r="H107" i="11"/>
  <c r="H144" i="11"/>
  <c r="H128" i="11"/>
  <c r="H112" i="11"/>
  <c r="H145" i="11"/>
  <c r="H129" i="11"/>
  <c r="H113" i="11"/>
  <c r="H142" i="11"/>
  <c r="H126" i="11"/>
  <c r="H110" i="11"/>
  <c r="H159" i="11"/>
  <c r="H143" i="11"/>
  <c r="H127" i="11"/>
  <c r="H111" i="11"/>
  <c r="H148" i="11"/>
  <c r="H132" i="11"/>
  <c r="H116" i="11"/>
  <c r="H149" i="11"/>
  <c r="H133" i="11"/>
  <c r="H117" i="11"/>
  <c r="H100" i="11"/>
  <c r="M157" i="11"/>
  <c r="P237" i="11" s="1"/>
  <c r="Q237" i="11" s="1"/>
  <c r="M141" i="11"/>
  <c r="P221" i="11" s="1"/>
  <c r="Q221" i="11" s="1"/>
  <c r="M125" i="11"/>
  <c r="P205" i="11" s="1"/>
  <c r="Q205" i="11" s="1"/>
  <c r="M109" i="11"/>
  <c r="P189" i="11" s="1"/>
  <c r="Q189" i="11" s="1"/>
  <c r="M158" i="11"/>
  <c r="P238" i="11" s="1"/>
  <c r="Q238" i="11" s="1"/>
  <c r="M142" i="11"/>
  <c r="P222" i="11" s="1"/>
  <c r="Q222" i="11" s="1"/>
  <c r="M126" i="11"/>
  <c r="P206" i="11" s="1"/>
  <c r="Q206" i="11" s="1"/>
  <c r="M110" i="11"/>
  <c r="P190" i="11" s="1"/>
  <c r="Q190" i="11" s="1"/>
  <c r="M147" i="11"/>
  <c r="P227" i="11" s="1"/>
  <c r="Q227" i="11" s="1"/>
  <c r="M131" i="11"/>
  <c r="P211" i="11" s="1"/>
  <c r="Q211" i="11" s="1"/>
  <c r="M115" i="11"/>
  <c r="P195" i="11" s="1"/>
  <c r="Q195" i="11" s="1"/>
  <c r="M148" i="11"/>
  <c r="P228" i="11" s="1"/>
  <c r="Q228" i="11" s="1"/>
  <c r="M132" i="11"/>
  <c r="P212" i="11" s="1"/>
  <c r="Q212" i="11" s="1"/>
  <c r="M116" i="11"/>
  <c r="P196" i="11" s="1"/>
  <c r="Q196" i="11" s="1"/>
  <c r="M145" i="11"/>
  <c r="P225" i="11" s="1"/>
  <c r="Q225" i="11" s="1"/>
  <c r="M129" i="11"/>
  <c r="P209" i="11" s="1"/>
  <c r="Q209" i="11" s="1"/>
  <c r="M113" i="11"/>
  <c r="P193" i="11" s="1"/>
  <c r="Q193" i="11" s="1"/>
  <c r="M146" i="11"/>
  <c r="P226" i="11" s="1"/>
  <c r="Q226" i="11" s="1"/>
  <c r="M130" i="11"/>
  <c r="P210" i="11" s="1"/>
  <c r="Q210" i="11" s="1"/>
  <c r="M114" i="11"/>
  <c r="P194" i="11" s="1"/>
  <c r="Q194" i="11" s="1"/>
  <c r="M151" i="11"/>
  <c r="P231" i="11" s="1"/>
  <c r="Q231" i="11" s="1"/>
  <c r="M135" i="11"/>
  <c r="P215" i="11" s="1"/>
  <c r="Q215" i="11" s="1"/>
  <c r="M119" i="11"/>
  <c r="P199" i="11" s="1"/>
  <c r="Q199" i="11" s="1"/>
  <c r="M103" i="11"/>
  <c r="P183" i="11" s="1"/>
  <c r="Q183" i="11" s="1"/>
  <c r="M152" i="11"/>
  <c r="P232" i="11" s="1"/>
  <c r="Q232" i="11" s="1"/>
  <c r="M136" i="11"/>
  <c r="P216" i="11" s="1"/>
  <c r="Q216" i="11" s="1"/>
  <c r="M120" i="11"/>
  <c r="P200" i="11" s="1"/>
  <c r="Q200" i="11" s="1"/>
  <c r="M104" i="11"/>
  <c r="P184" i="11" s="1"/>
  <c r="Q184" i="11" s="1"/>
  <c r="M149" i="11"/>
  <c r="P229" i="11" s="1"/>
  <c r="Q229" i="11" s="1"/>
  <c r="M133" i="11"/>
  <c r="P213" i="11" s="1"/>
  <c r="Q213" i="11" s="1"/>
  <c r="M117" i="11"/>
  <c r="P197" i="11" s="1"/>
  <c r="Q197" i="11" s="1"/>
  <c r="M101" i="11"/>
  <c r="P181" i="11" s="1"/>
  <c r="Q181" i="11" s="1"/>
  <c r="M150" i="11"/>
  <c r="P230" i="11" s="1"/>
  <c r="Q230" i="11" s="1"/>
  <c r="M134" i="11"/>
  <c r="P214" i="11" s="1"/>
  <c r="Q214" i="11" s="1"/>
  <c r="M118" i="11"/>
  <c r="P198" i="11" s="1"/>
  <c r="Q198" i="11" s="1"/>
  <c r="M102" i="11"/>
  <c r="P182" i="11" s="1"/>
  <c r="Q182" i="11" s="1"/>
  <c r="M155" i="11"/>
  <c r="P235" i="11" s="1"/>
  <c r="Q235" i="11" s="1"/>
  <c r="M139" i="11"/>
  <c r="P219" i="11" s="1"/>
  <c r="Q219" i="11" s="1"/>
  <c r="M123" i="11"/>
  <c r="P203" i="11" s="1"/>
  <c r="Q203" i="11" s="1"/>
  <c r="M107" i="11"/>
  <c r="P187" i="11" s="1"/>
  <c r="Q187" i="11" s="1"/>
  <c r="M156" i="11"/>
  <c r="P236" i="11" s="1"/>
  <c r="Q236" i="11" s="1"/>
  <c r="M140" i="11"/>
  <c r="P220" i="11" s="1"/>
  <c r="Q220" i="11" s="1"/>
  <c r="M124" i="11"/>
  <c r="P204" i="11" s="1"/>
  <c r="Q204" i="11" s="1"/>
  <c r="M108" i="11"/>
  <c r="P188" i="11" s="1"/>
  <c r="Q188" i="11" s="1"/>
  <c r="M153" i="11"/>
  <c r="P233" i="11" s="1"/>
  <c r="Q233" i="11" s="1"/>
  <c r="M137" i="11"/>
  <c r="P217" i="11" s="1"/>
  <c r="Q217" i="11" s="1"/>
  <c r="M121" i="11"/>
  <c r="P201" i="11" s="1"/>
  <c r="Q201" i="11" s="1"/>
  <c r="M105" i="11"/>
  <c r="P185" i="11" s="1"/>
  <c r="Q185" i="11" s="1"/>
  <c r="M154" i="11"/>
  <c r="P234" i="11" s="1"/>
  <c r="Q234" i="11" s="1"/>
  <c r="M138" i="11"/>
  <c r="P218" i="11" s="1"/>
  <c r="Q218" i="11" s="1"/>
  <c r="M122" i="11"/>
  <c r="P202" i="11" s="1"/>
  <c r="Q202" i="11" s="1"/>
  <c r="M106" i="11"/>
  <c r="P186" i="11" s="1"/>
  <c r="Q186" i="11" s="1"/>
  <c r="M159" i="11"/>
  <c r="P239" i="11" s="1"/>
  <c r="Q239" i="11" s="1"/>
  <c r="M143" i="11"/>
  <c r="P223" i="11" s="1"/>
  <c r="Q223" i="11" s="1"/>
  <c r="M127" i="11"/>
  <c r="P207" i="11" s="1"/>
  <c r="Q207" i="11" s="1"/>
  <c r="M111" i="11"/>
  <c r="P191" i="11" s="1"/>
  <c r="Q191" i="11" s="1"/>
  <c r="M144" i="11"/>
  <c r="P224" i="11" s="1"/>
  <c r="Q224" i="11" s="1"/>
  <c r="M128" i="11"/>
  <c r="P208" i="11" s="1"/>
  <c r="Q208" i="11" s="1"/>
  <c r="M112" i="11"/>
  <c r="P192" i="11" s="1"/>
  <c r="Q192" i="11" s="1"/>
  <c r="M100" i="11"/>
  <c r="P180" i="11" s="1"/>
  <c r="Q180" i="11" s="1"/>
  <c r="R92" i="11"/>
  <c r="J238" i="11" s="1"/>
  <c r="K238" i="11" s="1"/>
  <c r="R76" i="11"/>
  <c r="J222" i="11" s="1"/>
  <c r="K222" i="11" s="1"/>
  <c r="R60" i="11"/>
  <c r="J206" i="11" s="1"/>
  <c r="K206" i="11" s="1"/>
  <c r="R44" i="11"/>
  <c r="J190" i="11" s="1"/>
  <c r="K190" i="11" s="1"/>
  <c r="R85" i="11"/>
  <c r="J231" i="11" s="1"/>
  <c r="K231" i="11" s="1"/>
  <c r="R69" i="11"/>
  <c r="J215" i="11" s="1"/>
  <c r="K215" i="11" s="1"/>
  <c r="R53" i="11"/>
  <c r="J199" i="11" s="1"/>
  <c r="K199" i="11" s="1"/>
  <c r="R37" i="11"/>
  <c r="J183" i="11" s="1"/>
  <c r="K183" i="11" s="1"/>
  <c r="R90" i="11"/>
  <c r="J236" i="11" s="1"/>
  <c r="K236" i="11" s="1"/>
  <c r="R74" i="11"/>
  <c r="J220" i="11" s="1"/>
  <c r="K220" i="11" s="1"/>
  <c r="R58" i="11"/>
  <c r="J204" i="11" s="1"/>
  <c r="K204" i="11" s="1"/>
  <c r="R42" i="11"/>
  <c r="J188" i="11" s="1"/>
  <c r="K188" i="11" s="1"/>
  <c r="R79" i="11"/>
  <c r="J225" i="11" s="1"/>
  <c r="K225" i="11" s="1"/>
  <c r="R63" i="11"/>
  <c r="J209" i="11" s="1"/>
  <c r="K209" i="11" s="1"/>
  <c r="R47" i="11"/>
  <c r="J193" i="11" s="1"/>
  <c r="K193" i="11" s="1"/>
  <c r="R80" i="11"/>
  <c r="J226" i="11" s="1"/>
  <c r="K226" i="11" s="1"/>
  <c r="R64" i="11"/>
  <c r="J210" i="11" s="1"/>
  <c r="K210" i="11" s="1"/>
  <c r="R48" i="11"/>
  <c r="J194" i="11" s="1"/>
  <c r="K194" i="11" s="1"/>
  <c r="R89" i="11"/>
  <c r="J235" i="11" s="1"/>
  <c r="K235" i="11" s="1"/>
  <c r="R73" i="11"/>
  <c r="J219" i="11" s="1"/>
  <c r="K219" i="11" s="1"/>
  <c r="R57" i="11"/>
  <c r="J203" i="11" s="1"/>
  <c r="K203" i="11" s="1"/>
  <c r="R41" i="11"/>
  <c r="J187" i="11" s="1"/>
  <c r="K187" i="11" s="1"/>
  <c r="R78" i="11"/>
  <c r="J224" i="11" s="1"/>
  <c r="K224" i="11" s="1"/>
  <c r="R62" i="11"/>
  <c r="J208" i="11" s="1"/>
  <c r="K208" i="11" s="1"/>
  <c r="R46" i="11"/>
  <c r="J192" i="11" s="1"/>
  <c r="K192" i="11" s="1"/>
  <c r="R83" i="11"/>
  <c r="J229" i="11" s="1"/>
  <c r="K229" i="11" s="1"/>
  <c r="R67" i="11"/>
  <c r="J213" i="11" s="1"/>
  <c r="K213" i="11" s="1"/>
  <c r="R51" i="11"/>
  <c r="J197" i="11" s="1"/>
  <c r="K197" i="11" s="1"/>
  <c r="R35" i="11"/>
  <c r="J181" i="11" s="1"/>
  <c r="K181" i="11" s="1"/>
  <c r="R84" i="11"/>
  <c r="J230" i="11" s="1"/>
  <c r="K230" i="11" s="1"/>
  <c r="R68" i="11"/>
  <c r="J214" i="11" s="1"/>
  <c r="K214" i="11" s="1"/>
  <c r="R52" i="11"/>
  <c r="J198" i="11" s="1"/>
  <c r="K198" i="11" s="1"/>
  <c r="R36" i="11"/>
  <c r="J182" i="11" s="1"/>
  <c r="K182" i="11" s="1"/>
  <c r="R93" i="11"/>
  <c r="J239" i="11" s="1"/>
  <c r="K239" i="11" s="1"/>
  <c r="R77" i="11"/>
  <c r="J223" i="11" s="1"/>
  <c r="K223" i="11" s="1"/>
  <c r="R61" i="11"/>
  <c r="J207" i="11" s="1"/>
  <c r="K207" i="11" s="1"/>
  <c r="R45" i="11"/>
  <c r="J191" i="11" s="1"/>
  <c r="K191" i="11" s="1"/>
  <c r="R82" i="11"/>
  <c r="J228" i="11" s="1"/>
  <c r="K228" i="11" s="1"/>
  <c r="R66" i="11"/>
  <c r="J212" i="11" s="1"/>
  <c r="K212" i="11" s="1"/>
  <c r="R50" i="11"/>
  <c r="J196" i="11" s="1"/>
  <c r="K196" i="11" s="1"/>
  <c r="R87" i="11"/>
  <c r="J233" i="11" s="1"/>
  <c r="K233" i="11" s="1"/>
  <c r="R71" i="11"/>
  <c r="J217" i="11" s="1"/>
  <c r="K217" i="11" s="1"/>
  <c r="R55" i="11"/>
  <c r="J201" i="11" s="1"/>
  <c r="K201" i="11" s="1"/>
  <c r="R39" i="11"/>
  <c r="J185" i="11" s="1"/>
  <c r="K185" i="11" s="1"/>
  <c r="R88" i="11"/>
  <c r="J234" i="11" s="1"/>
  <c r="K234" i="11" s="1"/>
  <c r="R72" i="11"/>
  <c r="J218" i="11" s="1"/>
  <c r="K218" i="11" s="1"/>
  <c r="R56" i="11"/>
  <c r="J202" i="11" s="1"/>
  <c r="K202" i="11" s="1"/>
  <c r="R40" i="11"/>
  <c r="J186" i="11" s="1"/>
  <c r="K186" i="11" s="1"/>
  <c r="R81" i="11"/>
  <c r="J227" i="11" s="1"/>
  <c r="K227" i="11" s="1"/>
  <c r="R65" i="11"/>
  <c r="J211" i="11" s="1"/>
  <c r="K211" i="11" s="1"/>
  <c r="R49" i="11"/>
  <c r="J195" i="11" s="1"/>
  <c r="K195" i="11" s="1"/>
  <c r="R86" i="11"/>
  <c r="J232" i="11" s="1"/>
  <c r="K232" i="11" s="1"/>
  <c r="R70" i="11"/>
  <c r="J216" i="11" s="1"/>
  <c r="K216" i="11" s="1"/>
  <c r="R54" i="11"/>
  <c r="J200" i="11" s="1"/>
  <c r="K200" i="11" s="1"/>
  <c r="R38" i="11"/>
  <c r="J184" i="11" s="1"/>
  <c r="K184" i="11" s="1"/>
  <c r="R91" i="11"/>
  <c r="J237" i="11" s="1"/>
  <c r="K237" i="11" s="1"/>
  <c r="R75" i="11"/>
  <c r="J221" i="11" s="1"/>
  <c r="K221" i="11" s="1"/>
  <c r="R59" i="11"/>
  <c r="J205" i="11" s="1"/>
  <c r="K205" i="11" s="1"/>
  <c r="R43" i="11"/>
  <c r="J189" i="11" s="1"/>
  <c r="K189" i="11" s="1"/>
  <c r="M80" i="11"/>
  <c r="G226" i="11" s="1"/>
  <c r="H226" i="11" s="1"/>
  <c r="M64" i="11"/>
  <c r="G210" i="11" s="1"/>
  <c r="H210" i="11" s="1"/>
  <c r="M48" i="11"/>
  <c r="G194" i="11" s="1"/>
  <c r="H194" i="11" s="1"/>
  <c r="M89" i="11"/>
  <c r="G235" i="11" s="1"/>
  <c r="H235" i="11" s="1"/>
  <c r="M73" i="11"/>
  <c r="G219" i="11" s="1"/>
  <c r="H219" i="11" s="1"/>
  <c r="M57" i="11"/>
  <c r="G203" i="11" s="1"/>
  <c r="H203" i="11" s="1"/>
  <c r="M41" i="11"/>
  <c r="G187" i="11" s="1"/>
  <c r="H187" i="11" s="1"/>
  <c r="M82" i="11"/>
  <c r="G228" i="11" s="1"/>
  <c r="H228" i="11" s="1"/>
  <c r="M66" i="11"/>
  <c r="G212" i="11" s="1"/>
  <c r="H212" i="11" s="1"/>
  <c r="M50" i="11"/>
  <c r="G196" i="11" s="1"/>
  <c r="H196" i="11" s="1"/>
  <c r="M83" i="11"/>
  <c r="G229" i="11" s="1"/>
  <c r="H229" i="11" s="1"/>
  <c r="M67" i="11"/>
  <c r="G213" i="11" s="1"/>
  <c r="H213" i="11" s="1"/>
  <c r="M51" i="11"/>
  <c r="G197" i="11" s="1"/>
  <c r="H197" i="11" s="1"/>
  <c r="M35" i="11"/>
  <c r="G181" i="11" s="1"/>
  <c r="H181" i="11" s="1"/>
  <c r="M84" i="11"/>
  <c r="G230" i="11" s="1"/>
  <c r="H230" i="11" s="1"/>
  <c r="M68" i="11"/>
  <c r="G214" i="11" s="1"/>
  <c r="H214" i="11" s="1"/>
  <c r="M52" i="11"/>
  <c r="G198" i="11" s="1"/>
  <c r="H198" i="11" s="1"/>
  <c r="M36" i="11"/>
  <c r="G182" i="11" s="1"/>
  <c r="H182" i="11" s="1"/>
  <c r="M77" i="11"/>
  <c r="G223" i="11" s="1"/>
  <c r="H223" i="11" s="1"/>
  <c r="M61" i="11"/>
  <c r="G207" i="11" s="1"/>
  <c r="H207" i="11" s="1"/>
  <c r="M45" i="11"/>
  <c r="G191" i="11" s="1"/>
  <c r="H191" i="11" s="1"/>
  <c r="M86" i="11"/>
  <c r="G232" i="11" s="1"/>
  <c r="H232" i="11" s="1"/>
  <c r="M70" i="11"/>
  <c r="G216" i="11" s="1"/>
  <c r="H216" i="11" s="1"/>
  <c r="M54" i="11"/>
  <c r="G200" i="11" s="1"/>
  <c r="H200" i="11" s="1"/>
  <c r="M38" i="11"/>
  <c r="G184" i="11" s="1"/>
  <c r="H184" i="11" s="1"/>
  <c r="M87" i="11"/>
  <c r="G233" i="11" s="1"/>
  <c r="H233" i="11" s="1"/>
  <c r="M71" i="11"/>
  <c r="G217" i="11" s="1"/>
  <c r="H217" i="11" s="1"/>
  <c r="M55" i="11"/>
  <c r="G201" i="11" s="1"/>
  <c r="H201" i="11" s="1"/>
  <c r="M39" i="11"/>
  <c r="G185" i="11" s="1"/>
  <c r="H185" i="11" s="1"/>
  <c r="M88" i="11"/>
  <c r="G234" i="11" s="1"/>
  <c r="H234" i="11" s="1"/>
  <c r="M72" i="11"/>
  <c r="G218" i="11" s="1"/>
  <c r="H218" i="11" s="1"/>
  <c r="M56" i="11"/>
  <c r="G202" i="11" s="1"/>
  <c r="H202" i="11" s="1"/>
  <c r="M40" i="11"/>
  <c r="G186" i="11" s="1"/>
  <c r="H186" i="11" s="1"/>
  <c r="M81" i="11"/>
  <c r="G227" i="11" s="1"/>
  <c r="H227" i="11" s="1"/>
  <c r="M65" i="11"/>
  <c r="G211" i="11" s="1"/>
  <c r="H211" i="11" s="1"/>
  <c r="M49" i="11"/>
  <c r="G195" i="11" s="1"/>
  <c r="H195" i="11" s="1"/>
  <c r="M90" i="11"/>
  <c r="G236" i="11" s="1"/>
  <c r="H236" i="11" s="1"/>
  <c r="M74" i="11"/>
  <c r="G220" i="11" s="1"/>
  <c r="H220" i="11" s="1"/>
  <c r="M58" i="11"/>
  <c r="G204" i="11" s="1"/>
  <c r="H204" i="11" s="1"/>
  <c r="M42" i="11"/>
  <c r="G188" i="11" s="1"/>
  <c r="H188" i="11" s="1"/>
  <c r="M75" i="11"/>
  <c r="G221" i="11" s="1"/>
  <c r="H221" i="11" s="1"/>
  <c r="M59" i="11"/>
  <c r="G205" i="11" s="1"/>
  <c r="H205" i="11" s="1"/>
  <c r="M43" i="11"/>
  <c r="G189" i="11" s="1"/>
  <c r="H189" i="11" s="1"/>
  <c r="M92" i="11"/>
  <c r="G238" i="11" s="1"/>
  <c r="H238" i="11" s="1"/>
  <c r="M76" i="11"/>
  <c r="G222" i="11" s="1"/>
  <c r="H222" i="11" s="1"/>
  <c r="M60" i="11"/>
  <c r="G206" i="11" s="1"/>
  <c r="H206" i="11" s="1"/>
  <c r="M44" i="11"/>
  <c r="G190" i="11" s="1"/>
  <c r="H190" i="11" s="1"/>
  <c r="M85" i="11"/>
  <c r="G231" i="11" s="1"/>
  <c r="H231" i="11" s="1"/>
  <c r="M69" i="11"/>
  <c r="G215" i="11" s="1"/>
  <c r="H215" i="11" s="1"/>
  <c r="M53" i="11"/>
  <c r="G199" i="11" s="1"/>
  <c r="H199" i="11" s="1"/>
  <c r="M37" i="11"/>
  <c r="G183" i="11" s="1"/>
  <c r="H183" i="11" s="1"/>
  <c r="M34" i="11"/>
  <c r="G180" i="11" s="1"/>
  <c r="M78" i="11"/>
  <c r="G224" i="11" s="1"/>
  <c r="H224" i="11" s="1"/>
  <c r="M62" i="11"/>
  <c r="G208" i="11" s="1"/>
  <c r="H208" i="11" s="1"/>
  <c r="M46" i="11"/>
  <c r="G192" i="11" s="1"/>
  <c r="H192" i="11" s="1"/>
  <c r="M79" i="11"/>
  <c r="G225" i="11" s="1"/>
  <c r="H225" i="11" s="1"/>
  <c r="M63" i="11"/>
  <c r="G209" i="11" s="1"/>
  <c r="H209" i="11" s="1"/>
  <c r="M47" i="11"/>
  <c r="G193" i="11" s="1"/>
  <c r="H193" i="11" s="1"/>
  <c r="K94" i="11"/>
  <c r="P160" i="11"/>
  <c r="I12" i="11"/>
  <c r="I10" i="11"/>
  <c r="I14" i="11"/>
  <c r="I11" i="11"/>
  <c r="F94" i="11"/>
  <c r="I13" i="11"/>
  <c r="F160" i="11"/>
  <c r="F69" i="20" s="1"/>
  <c r="P94" i="11"/>
  <c r="I200" i="11" l="1"/>
  <c r="L190" i="11"/>
  <c r="I220" i="11"/>
  <c r="I210" i="11"/>
  <c r="L210" i="11"/>
  <c r="I190" i="11"/>
  <c r="I230" i="11"/>
  <c r="L200" i="11"/>
  <c r="L220" i="11"/>
  <c r="H42" i="20"/>
  <c r="K42" i="20" s="1"/>
  <c r="L42" i="20" s="1"/>
  <c r="M213" i="11"/>
  <c r="N213" i="11" s="1"/>
  <c r="H57" i="20"/>
  <c r="K57" i="20" s="1"/>
  <c r="L57" i="20" s="1"/>
  <c r="M228" i="11"/>
  <c r="N228" i="11" s="1"/>
  <c r="H68" i="20"/>
  <c r="K68" i="20" s="1"/>
  <c r="L68" i="20" s="1"/>
  <c r="M239" i="11"/>
  <c r="N239" i="11" s="1"/>
  <c r="H67" i="20"/>
  <c r="K67" i="20" s="1"/>
  <c r="L67" i="20" s="1"/>
  <c r="M238" i="11"/>
  <c r="N238" i="11" s="1"/>
  <c r="H21" i="20"/>
  <c r="K21" i="20" s="1"/>
  <c r="L21" i="20" s="1"/>
  <c r="M192" i="11"/>
  <c r="N192" i="11" s="1"/>
  <c r="H32" i="20"/>
  <c r="K32" i="20" s="1"/>
  <c r="L32" i="20" s="1"/>
  <c r="M203" i="11"/>
  <c r="N203" i="11" s="1"/>
  <c r="H31" i="20"/>
  <c r="K31" i="20" s="1"/>
  <c r="L31" i="20" s="1"/>
  <c r="M202" i="11"/>
  <c r="N202" i="11" s="1"/>
  <c r="H34" i="20"/>
  <c r="K34" i="20" s="1"/>
  <c r="L34" i="20" s="1"/>
  <c r="M205" i="11"/>
  <c r="N205" i="11" s="1"/>
  <c r="H33" i="20"/>
  <c r="K33" i="20" s="1"/>
  <c r="L33" i="20" s="1"/>
  <c r="M204" i="11"/>
  <c r="N204" i="11" s="1"/>
  <c r="H28" i="20"/>
  <c r="K28" i="20" s="1"/>
  <c r="L28" i="20" s="1"/>
  <c r="M199" i="11"/>
  <c r="N199" i="11" s="1"/>
  <c r="H27" i="20"/>
  <c r="K27" i="20" s="1"/>
  <c r="L27" i="20" s="1"/>
  <c r="M198" i="11"/>
  <c r="N198" i="11" s="1"/>
  <c r="H30" i="20"/>
  <c r="K30" i="20" s="1"/>
  <c r="L30" i="20" s="1"/>
  <c r="M201" i="11"/>
  <c r="N201" i="11" s="1"/>
  <c r="H29" i="20"/>
  <c r="K29" i="20" s="1"/>
  <c r="L29" i="20" s="1"/>
  <c r="M200" i="11"/>
  <c r="N200" i="11" s="1"/>
  <c r="H40" i="20"/>
  <c r="K40" i="20" s="1"/>
  <c r="L40" i="20" s="1"/>
  <c r="M211" i="11"/>
  <c r="N211" i="11" s="1"/>
  <c r="H55" i="20"/>
  <c r="K55" i="20" s="1"/>
  <c r="L55" i="20" s="1"/>
  <c r="M226" i="11"/>
  <c r="N226" i="11" s="1"/>
  <c r="H26" i="20"/>
  <c r="K26" i="20" s="1"/>
  <c r="L26" i="20" s="1"/>
  <c r="M197" i="11"/>
  <c r="N197" i="11" s="1"/>
  <c r="H41" i="20"/>
  <c r="K41" i="20" s="1"/>
  <c r="L41" i="20" s="1"/>
  <c r="M212" i="11"/>
  <c r="N212" i="11" s="1"/>
  <c r="H52" i="20"/>
  <c r="K52" i="20" s="1"/>
  <c r="L52" i="20" s="1"/>
  <c r="M223" i="11"/>
  <c r="N223" i="11" s="1"/>
  <c r="H51" i="20"/>
  <c r="K51" i="20" s="1"/>
  <c r="L51" i="20" s="1"/>
  <c r="M222" i="11"/>
  <c r="N222" i="11" s="1"/>
  <c r="H54" i="20"/>
  <c r="K54" i="20" s="1"/>
  <c r="L54" i="20" s="1"/>
  <c r="M225" i="11"/>
  <c r="N225" i="11" s="1"/>
  <c r="H16" i="20"/>
  <c r="K16" i="20" s="1"/>
  <c r="L16" i="20" s="1"/>
  <c r="M187" i="11"/>
  <c r="N187" i="11" s="1"/>
  <c r="H15" i="20"/>
  <c r="K15" i="20" s="1"/>
  <c r="L15" i="20" s="1"/>
  <c r="M186" i="11"/>
  <c r="N186" i="11" s="1"/>
  <c r="H18" i="20"/>
  <c r="K18" i="20" s="1"/>
  <c r="L18" i="20" s="1"/>
  <c r="M189" i="11"/>
  <c r="N189" i="11" s="1"/>
  <c r="H17" i="20"/>
  <c r="K17" i="20" s="1"/>
  <c r="L17" i="20" s="1"/>
  <c r="M188" i="11"/>
  <c r="N188" i="11" s="1"/>
  <c r="H12" i="20"/>
  <c r="K12" i="20" s="1"/>
  <c r="L12" i="20" s="1"/>
  <c r="M183" i="11"/>
  <c r="N183" i="11" s="1"/>
  <c r="H11" i="20"/>
  <c r="K11" i="20" s="1"/>
  <c r="L11" i="20" s="1"/>
  <c r="M182" i="11"/>
  <c r="N182" i="11" s="1"/>
  <c r="H14" i="20"/>
  <c r="K14" i="20" s="1"/>
  <c r="L14" i="20" s="1"/>
  <c r="M185" i="11"/>
  <c r="N185" i="11" s="1"/>
  <c r="H13" i="20"/>
  <c r="K13" i="20" s="1"/>
  <c r="L13" i="20" s="1"/>
  <c r="M184" i="11"/>
  <c r="N184" i="11" s="1"/>
  <c r="H24" i="20"/>
  <c r="K24" i="20" s="1"/>
  <c r="L24" i="20" s="1"/>
  <c r="M195" i="11"/>
  <c r="N195" i="11" s="1"/>
  <c r="H39" i="20"/>
  <c r="K39" i="20" s="1"/>
  <c r="L39" i="20" s="1"/>
  <c r="M210" i="11"/>
  <c r="N210" i="11" s="1"/>
  <c r="H10" i="20"/>
  <c r="M181" i="11"/>
  <c r="N181" i="11" s="1"/>
  <c r="H25" i="20"/>
  <c r="K25" i="20" s="1"/>
  <c r="L25" i="20" s="1"/>
  <c r="M196" i="11"/>
  <c r="N196" i="11" s="1"/>
  <c r="H36" i="20"/>
  <c r="K36" i="20" s="1"/>
  <c r="L36" i="20" s="1"/>
  <c r="M207" i="11"/>
  <c r="N207" i="11" s="1"/>
  <c r="H35" i="20"/>
  <c r="K35" i="20" s="1"/>
  <c r="L35" i="20" s="1"/>
  <c r="M206" i="11"/>
  <c r="N206" i="11" s="1"/>
  <c r="H38" i="20"/>
  <c r="K38" i="20" s="1"/>
  <c r="L38" i="20" s="1"/>
  <c r="M209" i="11"/>
  <c r="N209" i="11" s="1"/>
  <c r="H53" i="20"/>
  <c r="K53" i="20" s="1"/>
  <c r="L53" i="20" s="1"/>
  <c r="M224" i="11"/>
  <c r="N224" i="11" s="1"/>
  <c r="H64" i="20"/>
  <c r="K64" i="20" s="1"/>
  <c r="L64" i="20" s="1"/>
  <c r="M235" i="11"/>
  <c r="N235" i="11" s="1"/>
  <c r="H63" i="20"/>
  <c r="K63" i="20" s="1"/>
  <c r="L63" i="20" s="1"/>
  <c r="M234" i="11"/>
  <c r="N234" i="11" s="1"/>
  <c r="H66" i="20"/>
  <c r="K66" i="20" s="1"/>
  <c r="L66" i="20" s="1"/>
  <c r="M237" i="11"/>
  <c r="N237" i="11" s="1"/>
  <c r="H65" i="20"/>
  <c r="K65" i="20" s="1"/>
  <c r="L65" i="20" s="1"/>
  <c r="M236" i="11"/>
  <c r="N236" i="11" s="1"/>
  <c r="H60" i="20"/>
  <c r="K60" i="20" s="1"/>
  <c r="L60" i="20" s="1"/>
  <c r="M231" i="11"/>
  <c r="N231" i="11" s="1"/>
  <c r="H59" i="20"/>
  <c r="K59" i="20" s="1"/>
  <c r="L59" i="20" s="1"/>
  <c r="M230" i="11"/>
  <c r="N230" i="11" s="1"/>
  <c r="H62" i="20"/>
  <c r="K62" i="20" s="1"/>
  <c r="L62" i="20" s="1"/>
  <c r="M233" i="11"/>
  <c r="N233" i="11" s="1"/>
  <c r="H61" i="20"/>
  <c r="K61" i="20" s="1"/>
  <c r="L61" i="20" s="1"/>
  <c r="M232" i="11"/>
  <c r="N232" i="11" s="1"/>
  <c r="H23" i="20"/>
  <c r="K23" i="20" s="1"/>
  <c r="L23" i="20" s="1"/>
  <c r="M194" i="11"/>
  <c r="N194" i="11" s="1"/>
  <c r="H9" i="20"/>
  <c r="M180" i="11"/>
  <c r="N180" i="11" s="1"/>
  <c r="H58" i="20"/>
  <c r="K58" i="20" s="1"/>
  <c r="L58" i="20" s="1"/>
  <c r="M229" i="11"/>
  <c r="N229" i="11" s="1"/>
  <c r="H20" i="20"/>
  <c r="K20" i="20" s="1"/>
  <c r="L20" i="20" s="1"/>
  <c r="M191" i="11"/>
  <c r="N191" i="11" s="1"/>
  <c r="H19" i="20"/>
  <c r="K19" i="20" s="1"/>
  <c r="L19" i="20" s="1"/>
  <c r="M190" i="11"/>
  <c r="N190" i="11" s="1"/>
  <c r="H22" i="20"/>
  <c r="K22" i="20" s="1"/>
  <c r="L22" i="20" s="1"/>
  <c r="M193" i="11"/>
  <c r="N193" i="11" s="1"/>
  <c r="H37" i="20"/>
  <c r="K37" i="20" s="1"/>
  <c r="L37" i="20" s="1"/>
  <c r="M208" i="11"/>
  <c r="N208" i="11" s="1"/>
  <c r="H48" i="20"/>
  <c r="K48" i="20" s="1"/>
  <c r="L48" i="20" s="1"/>
  <c r="M219" i="11"/>
  <c r="N219" i="11" s="1"/>
  <c r="H47" i="20"/>
  <c r="K47" i="20" s="1"/>
  <c r="L47" i="20" s="1"/>
  <c r="M218" i="11"/>
  <c r="N218" i="11" s="1"/>
  <c r="H50" i="20"/>
  <c r="K50" i="20" s="1"/>
  <c r="L50" i="20" s="1"/>
  <c r="M221" i="11"/>
  <c r="N221" i="11" s="1"/>
  <c r="H49" i="20"/>
  <c r="K49" i="20" s="1"/>
  <c r="L49" i="20" s="1"/>
  <c r="M220" i="11"/>
  <c r="N220" i="11" s="1"/>
  <c r="H44" i="20"/>
  <c r="K44" i="20" s="1"/>
  <c r="L44" i="20" s="1"/>
  <c r="M215" i="11"/>
  <c r="N215" i="11" s="1"/>
  <c r="H43" i="20"/>
  <c r="K43" i="20" s="1"/>
  <c r="L43" i="20" s="1"/>
  <c r="M214" i="11"/>
  <c r="N214" i="11" s="1"/>
  <c r="H46" i="20"/>
  <c r="K46" i="20" s="1"/>
  <c r="L46" i="20" s="1"/>
  <c r="M217" i="11"/>
  <c r="N217" i="11" s="1"/>
  <c r="H45" i="20"/>
  <c r="K45" i="20" s="1"/>
  <c r="L45" i="20" s="1"/>
  <c r="M216" i="11"/>
  <c r="N216" i="11" s="1"/>
  <c r="H56" i="20"/>
  <c r="K56" i="20" s="1"/>
  <c r="L56" i="20" s="1"/>
  <c r="M227" i="11"/>
  <c r="N227" i="11" s="1"/>
  <c r="U230" i="11"/>
  <c r="U180" i="11"/>
  <c r="R230" i="11"/>
  <c r="R180" i="11"/>
  <c r="L180" i="11"/>
  <c r="L230" i="11"/>
  <c r="I16" i="11"/>
  <c r="C170" i="11" s="1"/>
  <c r="C172" i="11" s="1"/>
  <c r="C174" i="11" s="1"/>
  <c r="M160" i="11"/>
  <c r="R160" i="11"/>
  <c r="M94" i="11"/>
  <c r="R94" i="11"/>
  <c r="H160" i="11"/>
  <c r="H69" i="20" s="1"/>
  <c r="H94" i="11"/>
  <c r="K9" i="20" l="1"/>
  <c r="L9" i="20" s="1"/>
  <c r="K10" i="20"/>
  <c r="L10" i="20" s="1"/>
  <c r="I10" i="20"/>
  <c r="J10" i="20" s="1"/>
  <c r="O220" i="11"/>
  <c r="O190" i="11"/>
  <c r="F154" i="20"/>
  <c r="H154" i="20" s="1"/>
  <c r="J154" i="20" s="1"/>
  <c r="D154" i="20"/>
  <c r="F158" i="20"/>
  <c r="H158" i="20" s="1"/>
  <c r="J158" i="20" s="1"/>
  <c r="F156" i="20"/>
  <c r="H156" i="20" s="1"/>
  <c r="J156" i="20" s="1"/>
  <c r="D156" i="20"/>
  <c r="F146" i="20"/>
  <c r="H146" i="20" s="1"/>
  <c r="J146" i="20" s="1"/>
  <c r="D146" i="20"/>
  <c r="F128" i="20"/>
  <c r="F167" i="20"/>
  <c r="H167" i="20" s="1"/>
  <c r="J167" i="20" s="1"/>
  <c r="D167" i="20"/>
  <c r="F132" i="20"/>
  <c r="D132" i="20"/>
  <c r="F171" i="20"/>
  <c r="H171" i="20" s="1"/>
  <c r="D171" i="20"/>
  <c r="F169" i="20"/>
  <c r="H169" i="20" s="1"/>
  <c r="J169" i="20" s="1"/>
  <c r="D169" i="20"/>
  <c r="F175" i="20"/>
  <c r="D175" i="20"/>
  <c r="F173" i="20"/>
  <c r="D173" i="20"/>
  <c r="F147" i="20"/>
  <c r="H147" i="20" s="1"/>
  <c r="J147" i="20" s="1"/>
  <c r="D147" i="20"/>
  <c r="F145" i="20"/>
  <c r="H145" i="20" s="1"/>
  <c r="J145" i="20" s="1"/>
  <c r="D145" i="20"/>
  <c r="F133" i="20"/>
  <c r="H133" i="20" s="1"/>
  <c r="J133" i="20" s="1"/>
  <c r="D133" i="20"/>
  <c r="F123" i="20"/>
  <c r="D123" i="20"/>
  <c r="F121" i="20"/>
  <c r="D121" i="20"/>
  <c r="F127" i="20"/>
  <c r="D127" i="20"/>
  <c r="F125" i="20"/>
  <c r="H125" i="20" s="1"/>
  <c r="J125" i="20" s="1"/>
  <c r="D125" i="20"/>
  <c r="F160" i="20"/>
  <c r="H160" i="20" s="1"/>
  <c r="J160" i="20" s="1"/>
  <c r="D160" i="20"/>
  <c r="F150" i="20"/>
  <c r="H150" i="20" s="1"/>
  <c r="J150" i="20" s="1"/>
  <c r="D150" i="20"/>
  <c r="F164" i="20"/>
  <c r="H164" i="20" s="1"/>
  <c r="J164" i="20" s="1"/>
  <c r="D164" i="20"/>
  <c r="F138" i="20"/>
  <c r="H138" i="20" s="1"/>
  <c r="J138" i="20" s="1"/>
  <c r="F136" i="20"/>
  <c r="H136" i="20" s="1"/>
  <c r="J136" i="20" s="1"/>
  <c r="D136" i="20"/>
  <c r="F142" i="20"/>
  <c r="H142" i="20" s="1"/>
  <c r="J142" i="20" s="1"/>
  <c r="D142" i="20"/>
  <c r="F140" i="20"/>
  <c r="H140" i="20" s="1"/>
  <c r="J140" i="20" s="1"/>
  <c r="D140" i="20"/>
  <c r="F130" i="20"/>
  <c r="D130" i="20"/>
  <c r="F177" i="20"/>
  <c r="H177" i="20" s="1"/>
  <c r="J177" i="20" s="1"/>
  <c r="D177" i="20"/>
  <c r="F151" i="20"/>
  <c r="H151" i="20" s="1"/>
  <c r="J151" i="20" s="1"/>
  <c r="D151" i="20"/>
  <c r="F152" i="20"/>
  <c r="H152" i="20" s="1"/>
  <c r="J152" i="20" s="1"/>
  <c r="D152" i="20"/>
  <c r="R220" i="11"/>
  <c r="U220" i="11" s="1"/>
  <c r="R190" i="11"/>
  <c r="U190" i="11" s="1"/>
  <c r="O200" i="11"/>
  <c r="F155" i="20"/>
  <c r="H155" i="20" s="1"/>
  <c r="J155" i="20" s="1"/>
  <c r="D155" i="20"/>
  <c r="F159" i="20"/>
  <c r="H159" i="20" s="1"/>
  <c r="J159" i="20" s="1"/>
  <c r="D159" i="20"/>
  <c r="F129" i="20"/>
  <c r="D129" i="20"/>
  <c r="F168" i="20"/>
  <c r="H168" i="20" s="1"/>
  <c r="J168" i="20" s="1"/>
  <c r="F174" i="20"/>
  <c r="D174" i="20"/>
  <c r="F162" i="20"/>
  <c r="H162" i="20" s="1"/>
  <c r="J162" i="20" s="1"/>
  <c r="D162" i="20"/>
  <c r="F144" i="20"/>
  <c r="H144" i="20" s="1"/>
  <c r="J144" i="20" s="1"/>
  <c r="D144" i="20"/>
  <c r="F134" i="20"/>
  <c r="H134" i="20" s="1"/>
  <c r="J134" i="20" s="1"/>
  <c r="D134" i="20"/>
  <c r="F148" i="20"/>
  <c r="H148" i="20" s="1"/>
  <c r="J148" i="20" s="1"/>
  <c r="F122" i="20"/>
  <c r="D122" i="20"/>
  <c r="F120" i="20"/>
  <c r="D120" i="20"/>
  <c r="F126" i="20"/>
  <c r="D126" i="20"/>
  <c r="F124" i="20"/>
  <c r="D124" i="20"/>
  <c r="F163" i="20"/>
  <c r="H163" i="20" s="1"/>
  <c r="J163" i="20" s="1"/>
  <c r="D163" i="20"/>
  <c r="F161" i="20"/>
  <c r="H161" i="20" s="1"/>
  <c r="J161" i="20" s="1"/>
  <c r="D161" i="20"/>
  <c r="F135" i="20"/>
  <c r="H135" i="20" s="1"/>
  <c r="J135" i="20" s="1"/>
  <c r="D135" i="20"/>
  <c r="F149" i="20"/>
  <c r="H149" i="20" s="1"/>
  <c r="J149" i="20" s="1"/>
  <c r="D149" i="20"/>
  <c r="F139" i="20"/>
  <c r="H139" i="20" s="1"/>
  <c r="J139" i="20" s="1"/>
  <c r="D139" i="20"/>
  <c r="F137" i="20"/>
  <c r="H137" i="20" s="1"/>
  <c r="J137" i="20" s="1"/>
  <c r="D137" i="20"/>
  <c r="F143" i="20"/>
  <c r="H143" i="20" s="1"/>
  <c r="J143" i="20" s="1"/>
  <c r="D143" i="20"/>
  <c r="F141" i="20"/>
  <c r="H141" i="20" s="1"/>
  <c r="J141" i="20" s="1"/>
  <c r="D141" i="20"/>
  <c r="F176" i="20"/>
  <c r="D176" i="20"/>
  <c r="F166" i="20"/>
  <c r="H166" i="20" s="1"/>
  <c r="J166" i="20" s="1"/>
  <c r="D166" i="20"/>
  <c r="F165" i="20"/>
  <c r="H165" i="20" s="1"/>
  <c r="J165" i="20" s="1"/>
  <c r="D165" i="20"/>
  <c r="F153" i="20"/>
  <c r="H153" i="20" s="1"/>
  <c r="J153" i="20" s="1"/>
  <c r="D153" i="20"/>
  <c r="F157" i="20"/>
  <c r="H157" i="20" s="1"/>
  <c r="J157" i="20" s="1"/>
  <c r="D157" i="20"/>
  <c r="F131" i="20"/>
  <c r="D131" i="20"/>
  <c r="F170" i="20"/>
  <c r="H170" i="20" s="1"/>
  <c r="J170" i="20" s="1"/>
  <c r="D170" i="20"/>
  <c r="F172" i="20"/>
  <c r="D172" i="20"/>
  <c r="O210" i="11"/>
  <c r="I58" i="20"/>
  <c r="J58" i="20" s="1"/>
  <c r="I42" i="20"/>
  <c r="J42" i="20" s="1"/>
  <c r="I26" i="20"/>
  <c r="J26" i="20" s="1"/>
  <c r="I55" i="20"/>
  <c r="J55" i="20" s="1"/>
  <c r="I39" i="20"/>
  <c r="J39" i="20" s="1"/>
  <c r="I23" i="20"/>
  <c r="J23" i="20" s="1"/>
  <c r="I68" i="20"/>
  <c r="J68" i="20" s="1"/>
  <c r="I52" i="20"/>
  <c r="J52" i="20" s="1"/>
  <c r="I36" i="20"/>
  <c r="J36" i="20" s="1"/>
  <c r="I20" i="20"/>
  <c r="J20" i="20" s="1"/>
  <c r="I61" i="20"/>
  <c r="J61" i="20" s="1"/>
  <c r="I45" i="20"/>
  <c r="J45" i="20" s="1"/>
  <c r="I29" i="20"/>
  <c r="J29" i="20" s="1"/>
  <c r="I13" i="20"/>
  <c r="J13" i="20" s="1"/>
  <c r="I62" i="20"/>
  <c r="J62" i="20" s="1"/>
  <c r="I46" i="20"/>
  <c r="J46" i="20" s="1"/>
  <c r="I30" i="20"/>
  <c r="J30" i="20" s="1"/>
  <c r="I14" i="20"/>
  <c r="J14" i="20" s="1"/>
  <c r="I59" i="20"/>
  <c r="J59" i="20" s="1"/>
  <c r="I43" i="20"/>
  <c r="J43" i="20" s="1"/>
  <c r="I27" i="20"/>
  <c r="J27" i="20" s="1"/>
  <c r="I11" i="20"/>
  <c r="J11" i="20" s="1"/>
  <c r="I56" i="20"/>
  <c r="J56" i="20" s="1"/>
  <c r="I40" i="20"/>
  <c r="J40" i="20" s="1"/>
  <c r="I24" i="20"/>
  <c r="J24" i="20" s="1"/>
  <c r="I65" i="20"/>
  <c r="J65" i="20" s="1"/>
  <c r="I49" i="20"/>
  <c r="J49" i="20" s="1"/>
  <c r="I33" i="20"/>
  <c r="J33" i="20" s="1"/>
  <c r="I17" i="20"/>
  <c r="J17" i="20" s="1"/>
  <c r="I66" i="20"/>
  <c r="J66" i="20" s="1"/>
  <c r="I50" i="20"/>
  <c r="J50" i="20" s="1"/>
  <c r="I34" i="20"/>
  <c r="J34" i="20" s="1"/>
  <c r="I18" i="20"/>
  <c r="J18" i="20" s="1"/>
  <c r="I63" i="20"/>
  <c r="J63" i="20" s="1"/>
  <c r="I47" i="20"/>
  <c r="J47" i="20" s="1"/>
  <c r="I31" i="20"/>
  <c r="J31" i="20" s="1"/>
  <c r="I15" i="20"/>
  <c r="J15" i="20" s="1"/>
  <c r="I60" i="20"/>
  <c r="J60" i="20" s="1"/>
  <c r="I44" i="20"/>
  <c r="J44" i="20" s="1"/>
  <c r="I28" i="20"/>
  <c r="J28" i="20" s="1"/>
  <c r="I12" i="20"/>
  <c r="J12" i="20" s="1"/>
  <c r="I53" i="20"/>
  <c r="J53" i="20" s="1"/>
  <c r="I37" i="20"/>
  <c r="J37" i="20" s="1"/>
  <c r="I21" i="20"/>
  <c r="J21" i="20" s="1"/>
  <c r="I9" i="20"/>
  <c r="J9" i="20" s="1"/>
  <c r="I54" i="20"/>
  <c r="J54" i="20" s="1"/>
  <c r="I38" i="20"/>
  <c r="J38" i="20" s="1"/>
  <c r="I22" i="20"/>
  <c r="J22" i="20" s="1"/>
  <c r="I67" i="20"/>
  <c r="J67" i="20" s="1"/>
  <c r="I51" i="20"/>
  <c r="J51" i="20" s="1"/>
  <c r="I35" i="20"/>
  <c r="J35" i="20" s="1"/>
  <c r="I19" i="20"/>
  <c r="J19" i="20" s="1"/>
  <c r="I64" i="20"/>
  <c r="J64" i="20" s="1"/>
  <c r="I48" i="20"/>
  <c r="J48" i="20" s="1"/>
  <c r="I32" i="20"/>
  <c r="J32" i="20" s="1"/>
  <c r="I16" i="20"/>
  <c r="J16" i="20" s="1"/>
  <c r="I57" i="20"/>
  <c r="J57" i="20" s="1"/>
  <c r="I41" i="20"/>
  <c r="J41" i="20" s="1"/>
  <c r="I25" i="20"/>
  <c r="J25" i="20" s="1"/>
  <c r="O230" i="11"/>
  <c r="W230" i="11" s="1"/>
  <c r="Y230" i="11" s="1"/>
  <c r="O180" i="11"/>
  <c r="D240" i="11"/>
  <c r="E240" i="11" s="1"/>
  <c r="M240" i="11"/>
  <c r="N240" i="11" s="1"/>
  <c r="J240" i="11"/>
  <c r="K240" i="11" s="1"/>
  <c r="L240" i="11"/>
  <c r="G240" i="11"/>
  <c r="H240" i="11" s="1"/>
  <c r="H180" i="11"/>
  <c r="I180" i="11" s="1"/>
  <c r="P240" i="11"/>
  <c r="Q240" i="11" s="1"/>
  <c r="S240" i="11"/>
  <c r="T240" i="11" s="1"/>
  <c r="D119" i="20" l="1"/>
  <c r="F119" i="20"/>
  <c r="H119" i="20" s="1"/>
  <c r="J119" i="20" s="1"/>
  <c r="W190" i="11"/>
  <c r="Y190" i="11" s="1"/>
  <c r="W220" i="11"/>
  <c r="Y220" i="11" s="1"/>
  <c r="W180" i="11"/>
  <c r="D168" i="20"/>
  <c r="R200" i="11"/>
  <c r="D118" i="20"/>
  <c r="D138" i="20"/>
  <c r="D128" i="20"/>
  <c r="D148" i="20"/>
  <c r="R210" i="11"/>
  <c r="U210" i="11" s="1"/>
  <c r="W210" i="11" s="1"/>
  <c r="Y210" i="11" s="1"/>
  <c r="D158" i="20"/>
  <c r="I240" i="11"/>
  <c r="O240" i="11"/>
  <c r="H122" i="20"/>
  <c r="J122" i="20" s="1"/>
  <c r="H124" i="20"/>
  <c r="J124" i="20" s="1"/>
  <c r="H126" i="20"/>
  <c r="J126" i="20" s="1"/>
  <c r="H130" i="20"/>
  <c r="J130" i="20" s="1"/>
  <c r="K69" i="20"/>
  <c r="H174" i="20"/>
  <c r="J174" i="20" s="1"/>
  <c r="J171" i="20"/>
  <c r="H128" i="20"/>
  <c r="J128" i="20" s="1"/>
  <c r="H132" i="20"/>
  <c r="J132" i="20" s="1"/>
  <c r="H121" i="20"/>
  <c r="J121" i="20" s="1"/>
  <c r="H176" i="20"/>
  <c r="J176" i="20" s="1"/>
  <c r="F240" i="11"/>
  <c r="H123" i="20"/>
  <c r="J123" i="20" s="1"/>
  <c r="H175" i="20"/>
  <c r="J175" i="20" s="1"/>
  <c r="H129" i="20"/>
  <c r="J129" i="20" s="1"/>
  <c r="H131" i="20"/>
  <c r="J131" i="20" s="1"/>
  <c r="H173" i="20"/>
  <c r="J173" i="20" s="1"/>
  <c r="H120" i="20"/>
  <c r="J120" i="20" s="1"/>
  <c r="H127" i="20"/>
  <c r="J127" i="20" s="1"/>
  <c r="H172" i="20"/>
  <c r="J172" i="20" s="1"/>
  <c r="C263" i="20" l="1"/>
  <c r="U200" i="11"/>
  <c r="R240" i="11"/>
  <c r="O69" i="20"/>
  <c r="Y180" i="11"/>
  <c r="F118" i="20"/>
  <c r="L69" i="20"/>
  <c r="H263" i="20" l="1"/>
  <c r="B100" i="20"/>
  <c r="I100" i="20" s="1"/>
  <c r="C108" i="20" s="1"/>
  <c r="C113" i="20" s="1"/>
  <c r="F113" i="20" s="1"/>
  <c r="J181" i="20" s="1"/>
  <c r="K263" i="20"/>
  <c r="M263" i="20" s="1"/>
  <c r="O263" i="20" s="1"/>
  <c r="P263" i="20" s="1"/>
  <c r="U240" i="11"/>
  <c r="W240" i="11" s="1"/>
  <c r="W200" i="11"/>
  <c r="Y200" i="11" s="1"/>
  <c r="Y240" i="11" s="1"/>
  <c r="H118" i="20"/>
  <c r="J118" i="20" s="1"/>
  <c r="M69" i="20"/>
  <c r="S263" i="20" l="1"/>
  <c r="R263" i="20"/>
  <c r="T263" i="20" s="1"/>
  <c r="V263" i="20" s="1"/>
  <c r="C273" i="20" s="1"/>
  <c r="C276" i="20" s="1"/>
  <c r="C277" i="20" s="1"/>
  <c r="G282" i="20" s="1"/>
  <c r="H282" i="20" s="1"/>
  <c r="D228" i="20"/>
  <c r="J182" i="20"/>
  <c r="J183" i="20" s="1"/>
  <c r="D224" i="20"/>
  <c r="F224" i="20" s="1"/>
  <c r="I141" i="1" l="1"/>
  <c r="I143" i="1"/>
  <c r="N1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Computer Hp</author>
  </authors>
  <commentList>
    <comment ref="Z14" authorId="0" shapeId="0" xr:uid="{00000000-0006-0000-0200-000001000000}">
      <text>
        <r>
          <rPr>
            <b/>
            <sz val="9"/>
            <color indexed="81"/>
            <rFont val="Tahoma"/>
            <family val="2"/>
          </rPr>
          <t>Computer Hp:</t>
        </r>
        <r>
          <rPr>
            <sz val="9"/>
            <color indexed="81"/>
            <rFont val="Tahoma"/>
            <family val="2"/>
          </rPr>
          <t xml:space="preserve">
pannelli di spaccato di legno e leganti inorganici con contenuto di umidità del 15% Massa volumica kg fratto metro cubo 500 lamda 0,14
</t>
        </r>
      </text>
    </comment>
  </commentList>
</comments>
</file>

<file path=xl/sharedStrings.xml><?xml version="1.0" encoding="utf-8"?>
<sst xmlns="http://schemas.openxmlformats.org/spreadsheetml/2006/main" count="6416" uniqueCount="1029">
  <si>
    <t>ALLEGATO</t>
  </si>
  <si>
    <t>UNIVERSITA' DEGLI STUDI DI CASSINO E DEL LAZIO MERIDIONALE</t>
  </si>
  <si>
    <t>Facoltà di Ingegneria</t>
  </si>
  <si>
    <t>Corso di Energetica degli Edifici</t>
  </si>
  <si>
    <t>Certificazione energetica di un edificio residenziale</t>
  </si>
  <si>
    <t>Docenti:</t>
  </si>
  <si>
    <t>Studenti:</t>
  </si>
  <si>
    <t>Gianmarco PARDI</t>
  </si>
  <si>
    <t>Maria Paola RISI</t>
  </si>
  <si>
    <t>CUCINA</t>
  </si>
  <si>
    <t>TAVERNA</t>
  </si>
  <si>
    <t>INGRESSO</t>
  </si>
  <si>
    <t>STUDIO 1</t>
  </si>
  <si>
    <t>STUDIO 2</t>
  </si>
  <si>
    <t>BAGNO</t>
  </si>
  <si>
    <t>Altezza</t>
  </si>
  <si>
    <t>VANO SCALE</t>
  </si>
  <si>
    <t>SOGGIORNO</t>
  </si>
  <si>
    <t>MATRIMONIALE</t>
  </si>
  <si>
    <t>LETTO 1</t>
  </si>
  <si>
    <t>LETTO 2</t>
  </si>
  <si>
    <t>GARAGE</t>
  </si>
  <si>
    <t>RIPOSTIGLIO</t>
  </si>
  <si>
    <t>SOTTOTETTO</t>
  </si>
  <si>
    <t>-</t>
  </si>
  <si>
    <t>Locale</t>
  </si>
  <si>
    <t>Area</t>
  </si>
  <si>
    <t>A</t>
  </si>
  <si>
    <t>h</t>
  </si>
  <si>
    <t>V</t>
  </si>
  <si>
    <t>Volume</t>
  </si>
  <si>
    <t>[m]</t>
  </si>
  <si>
    <r>
      <t>[m</t>
    </r>
    <r>
      <rPr>
        <vertAlign val="superscript"/>
        <sz val="8"/>
        <color theme="1"/>
        <rFont val="Calibri"/>
        <family val="2"/>
        <scheme val="minor"/>
      </rPr>
      <t>2</t>
    </r>
    <r>
      <rPr>
        <sz val="8"/>
        <color theme="1"/>
        <rFont val="Calibri"/>
        <family val="2"/>
        <scheme val="minor"/>
      </rPr>
      <t>]</t>
    </r>
  </si>
  <si>
    <r>
      <t>[m</t>
    </r>
    <r>
      <rPr>
        <vertAlign val="superscript"/>
        <sz val="8"/>
        <color theme="1"/>
        <rFont val="Calibri"/>
        <family val="2"/>
        <scheme val="minor"/>
      </rPr>
      <t>3</t>
    </r>
    <r>
      <rPr>
        <sz val="8"/>
        <color theme="1"/>
        <rFont val="Calibri"/>
        <family val="2"/>
        <scheme val="minor"/>
      </rPr>
      <t>]</t>
    </r>
  </si>
  <si>
    <t>PIANO PRIMO</t>
  </si>
  <si>
    <t>PIANO TERRA</t>
  </si>
  <si>
    <t>LOCALI RISCALDATI</t>
  </si>
  <si>
    <t>LOCALI NON RISCALDATI</t>
  </si>
  <si>
    <t>COPERTURA</t>
  </si>
  <si>
    <t>DATI ARCHITETTONICI / CLIMATICI</t>
  </si>
  <si>
    <t>STRATIGRAFIE</t>
  </si>
  <si>
    <t>s</t>
  </si>
  <si>
    <t>λ</t>
  </si>
  <si>
    <t>R</t>
  </si>
  <si>
    <r>
      <t>[W/m</t>
    </r>
    <r>
      <rPr>
        <sz val="8"/>
        <color theme="1"/>
        <rFont val="Calibri"/>
        <family val="2"/>
      </rPr>
      <t>∙</t>
    </r>
    <r>
      <rPr>
        <sz val="8"/>
        <color theme="1"/>
        <rFont val="Calibri"/>
        <family val="2"/>
        <scheme val="minor"/>
      </rPr>
      <t>K]</t>
    </r>
  </si>
  <si>
    <r>
      <t>[m</t>
    </r>
    <r>
      <rPr>
        <vertAlign val="superscript"/>
        <sz val="8"/>
        <color theme="1"/>
        <rFont val="Calibri"/>
        <family val="2"/>
        <scheme val="minor"/>
      </rPr>
      <t>2</t>
    </r>
    <r>
      <rPr>
        <sz val="8"/>
        <color theme="1"/>
        <rFont val="Calibri"/>
        <family val="2"/>
      </rPr>
      <t>∙</t>
    </r>
    <r>
      <rPr>
        <sz val="8"/>
        <color theme="1"/>
        <rFont val="Calibri"/>
        <family val="2"/>
        <scheme val="minor"/>
      </rPr>
      <t>K/W]</t>
    </r>
  </si>
  <si>
    <t>Mattoni di laterizio</t>
  </si>
  <si>
    <t>UNI 10355</t>
  </si>
  <si>
    <t>Camera d'aria</t>
  </si>
  <si>
    <t>UNI 6946</t>
  </si>
  <si>
    <t>Tavella di laterizio</t>
  </si>
  <si>
    <t>Blocco di tufo</t>
  </si>
  <si>
    <t>Intonaco interno</t>
  </si>
  <si>
    <t>UNI 10351</t>
  </si>
  <si>
    <t>Resistenza sup. esterna</t>
  </si>
  <si>
    <t>Resistenza sup. interna</t>
  </si>
  <si>
    <r>
      <t>[W/m</t>
    </r>
    <r>
      <rPr>
        <vertAlign val="superscript"/>
        <sz val="8"/>
        <color theme="1"/>
        <rFont val="Calibri"/>
        <family val="2"/>
        <scheme val="minor"/>
      </rPr>
      <t>2</t>
    </r>
    <r>
      <rPr>
        <sz val="8"/>
        <color theme="1"/>
        <rFont val="Calibri"/>
        <family val="2"/>
      </rPr>
      <t>∙</t>
    </r>
    <r>
      <rPr>
        <sz val="8"/>
        <color theme="1"/>
        <rFont val="Calibri"/>
        <family val="2"/>
        <scheme val="minor"/>
      </rPr>
      <t>K]</t>
    </r>
  </si>
  <si>
    <t>Resistenza</t>
  </si>
  <si>
    <t>Conducibilità</t>
  </si>
  <si>
    <t>Spessore</t>
  </si>
  <si>
    <t>Resistenza totale</t>
  </si>
  <si>
    <t>Trasmittanza totale</t>
  </si>
  <si>
    <t>Foglio 1</t>
  </si>
  <si>
    <t>Foglio 2</t>
  </si>
  <si>
    <t>Foglio 3</t>
  </si>
  <si>
    <t>Foglio 4</t>
  </si>
  <si>
    <t>Mattone forato</t>
  </si>
  <si>
    <t>Intonaco esterno</t>
  </si>
  <si>
    <t>Intercapedine d'aria</t>
  </si>
  <si>
    <t>Foglio 5</t>
  </si>
  <si>
    <t>Foglio 6</t>
  </si>
  <si>
    <t>Foglio 7</t>
  </si>
  <si>
    <t>Foglio 8</t>
  </si>
  <si>
    <t>Ing. MASSA F.</t>
  </si>
  <si>
    <t>Prof. DELL'ISOLA M.</t>
  </si>
  <si>
    <t>[W/K]</t>
  </si>
  <si>
    <t>WC</t>
  </si>
  <si>
    <t>Rif. Parete</t>
  </si>
  <si>
    <t>Rif. Stratigrafia</t>
  </si>
  <si>
    <t>Trasmittanza</t>
  </si>
  <si>
    <t>Coeff. Dispersione Termica</t>
  </si>
  <si>
    <r>
      <t>U</t>
    </r>
    <r>
      <rPr>
        <b/>
        <vertAlign val="subscript"/>
        <sz val="11"/>
        <color theme="1"/>
        <rFont val="Calibri"/>
        <family val="2"/>
        <scheme val="minor"/>
      </rPr>
      <t>e,i</t>
    </r>
  </si>
  <si>
    <r>
      <t>A</t>
    </r>
    <r>
      <rPr>
        <b/>
        <vertAlign val="subscript"/>
        <sz val="11"/>
        <color theme="1"/>
        <rFont val="Calibri"/>
        <family val="2"/>
        <scheme val="minor"/>
      </rPr>
      <t>e,i</t>
    </r>
  </si>
  <si>
    <t>STRATIGRAFIA 01</t>
  </si>
  <si>
    <t>STRATIGRAFIA 02</t>
  </si>
  <si>
    <t>ALIQUOTA</t>
  </si>
  <si>
    <r>
      <t>U</t>
    </r>
    <r>
      <rPr>
        <b/>
        <sz val="16"/>
        <color theme="0"/>
        <rFont val="Calibri"/>
        <family val="2"/>
      </rPr>
      <t>∙A</t>
    </r>
  </si>
  <si>
    <t>Ψ∙l</t>
  </si>
  <si>
    <t>Tipologia</t>
  </si>
  <si>
    <t>Lunghezza</t>
  </si>
  <si>
    <t>U</t>
  </si>
  <si>
    <t>[W/mK]</t>
  </si>
  <si>
    <t>C2</t>
  </si>
  <si>
    <t>IW2</t>
  </si>
  <si>
    <t>C6</t>
  </si>
  <si>
    <t>PTV 06</t>
  </si>
  <si>
    <t>IW5</t>
  </si>
  <si>
    <t>GF2</t>
  </si>
  <si>
    <t>F2</t>
  </si>
  <si>
    <t>PTV 11</t>
  </si>
  <si>
    <t>PTV 12</t>
  </si>
  <si>
    <t>PTV 13</t>
  </si>
  <si>
    <t>PTO-P13</t>
  </si>
  <si>
    <t>PTO-P15</t>
  </si>
  <si>
    <t>PTO-P12</t>
  </si>
  <si>
    <t>PTO-P10</t>
  </si>
  <si>
    <t>PTO-P11</t>
  </si>
  <si>
    <t>PTO-P01</t>
  </si>
  <si>
    <t>PTO-P02</t>
  </si>
  <si>
    <t>PTO-P03</t>
  </si>
  <si>
    <t>PTO-P04</t>
  </si>
  <si>
    <t>PTO-P05</t>
  </si>
  <si>
    <t>PTO-P07</t>
  </si>
  <si>
    <t>PTO-P08</t>
  </si>
  <si>
    <t>PTO-P09</t>
  </si>
  <si>
    <t>PTV 14</t>
  </si>
  <si>
    <t>PTV 28</t>
  </si>
  <si>
    <t>PTO-S17</t>
  </si>
  <si>
    <t>PTO-S18</t>
  </si>
  <si>
    <t>PTO-S19</t>
  </si>
  <si>
    <t>PTO-S20</t>
  </si>
  <si>
    <t>PTO-S21</t>
  </si>
  <si>
    <t>PTO-S22</t>
  </si>
  <si>
    <t>PTO-S30</t>
  </si>
  <si>
    <r>
      <t>H</t>
    </r>
    <r>
      <rPr>
        <b/>
        <vertAlign val="subscript"/>
        <sz val="20"/>
        <color theme="0"/>
        <rFont val="Calibri"/>
        <family val="2"/>
        <scheme val="minor"/>
      </rPr>
      <t>d</t>
    </r>
  </si>
  <si>
    <t>Aliquota 1</t>
  </si>
  <si>
    <t>Aliquota 2</t>
  </si>
  <si>
    <r>
      <t>[m</t>
    </r>
    <r>
      <rPr>
        <sz val="8"/>
        <color theme="1"/>
        <rFont val="Calibri"/>
        <family val="2"/>
        <scheme val="minor"/>
      </rPr>
      <t>]</t>
    </r>
  </si>
  <si>
    <r>
      <t>[W/</t>
    </r>
    <r>
      <rPr>
        <sz val="8"/>
        <color theme="1"/>
        <rFont val="Calibri"/>
        <family val="2"/>
        <scheme val="minor"/>
      </rPr>
      <t>K]</t>
    </r>
  </si>
  <si>
    <r>
      <t>U</t>
    </r>
    <r>
      <rPr>
        <b/>
        <vertAlign val="subscript"/>
        <sz val="11"/>
        <color theme="1"/>
        <rFont val="Calibri"/>
        <family val="2"/>
        <scheme val="minor"/>
      </rPr>
      <t>e</t>
    </r>
    <r>
      <rPr>
        <b/>
        <sz val="11"/>
        <color theme="1"/>
        <rFont val="Calibri"/>
        <family val="2"/>
      </rPr>
      <t>∙</t>
    </r>
    <r>
      <rPr>
        <b/>
        <sz val="11"/>
        <color theme="1"/>
        <rFont val="Calibri"/>
        <family val="2"/>
        <scheme val="minor"/>
      </rPr>
      <t>A</t>
    </r>
    <r>
      <rPr>
        <b/>
        <vertAlign val="subscript"/>
        <sz val="11"/>
        <color theme="1"/>
        <rFont val="Calibri"/>
        <family val="2"/>
        <scheme val="minor"/>
      </rPr>
      <t>e</t>
    </r>
  </si>
  <si>
    <r>
      <t>U</t>
    </r>
    <r>
      <rPr>
        <b/>
        <vertAlign val="subscript"/>
        <sz val="11"/>
        <color theme="1"/>
        <rFont val="Calibri"/>
        <family val="2"/>
        <scheme val="minor"/>
      </rPr>
      <t xml:space="preserve">e,i </t>
    </r>
    <r>
      <rPr>
        <b/>
        <sz val="11"/>
        <color theme="1"/>
        <rFont val="Calibri"/>
        <family val="2"/>
      </rPr>
      <t xml:space="preserve">∙ </t>
    </r>
    <r>
      <rPr>
        <b/>
        <sz val="11"/>
        <color theme="1"/>
        <rFont val="Calibri"/>
        <family val="2"/>
        <scheme val="minor"/>
      </rPr>
      <t>A</t>
    </r>
    <r>
      <rPr>
        <b/>
        <vertAlign val="subscript"/>
        <sz val="11"/>
        <color theme="1"/>
        <rFont val="Calibri"/>
        <family val="2"/>
        <scheme val="minor"/>
      </rPr>
      <t>e,i</t>
    </r>
  </si>
  <si>
    <r>
      <t>H</t>
    </r>
    <r>
      <rPr>
        <vertAlign val="subscript"/>
        <sz val="11"/>
        <color theme="1"/>
        <rFont val="Calibri"/>
        <family val="2"/>
        <scheme val="minor"/>
      </rPr>
      <t>d</t>
    </r>
  </si>
  <si>
    <t>DISPERSIONE TERMICA PER TRASMISSIONE (Hd) - Componenti opachi</t>
  </si>
  <si>
    <t>DISPERSIONE TERMICA PER TRASMISSIONE (Hd) - Componenti trasparenti</t>
  </si>
  <si>
    <t xml:space="preserve"> VETRO</t>
  </si>
  <si>
    <t>TELAIO</t>
  </si>
  <si>
    <t>CHIUSURA</t>
  </si>
  <si>
    <t>Riferimento</t>
  </si>
  <si>
    <t>Trasmittanza termica</t>
  </si>
  <si>
    <t>Resistenza termica addizionale</t>
  </si>
  <si>
    <t>L</t>
  </si>
  <si>
    <t>H</t>
  </si>
  <si>
    <r>
      <t>A</t>
    </r>
    <r>
      <rPr>
        <vertAlign val="subscript"/>
        <sz val="11"/>
        <color theme="1"/>
        <rFont val="Calibri"/>
        <family val="2"/>
        <scheme val="minor"/>
      </rPr>
      <t>g</t>
    </r>
  </si>
  <si>
    <r>
      <t>d</t>
    </r>
    <r>
      <rPr>
        <b/>
        <vertAlign val="subscript"/>
        <sz val="10"/>
        <rFont val="Calibri"/>
        <family val="2"/>
        <scheme val="minor"/>
      </rPr>
      <t>f</t>
    </r>
  </si>
  <si>
    <r>
      <t>l</t>
    </r>
    <r>
      <rPr>
        <b/>
        <vertAlign val="subscript"/>
        <sz val="10"/>
        <rFont val="Calibri"/>
        <family val="2"/>
        <scheme val="minor"/>
      </rPr>
      <t>g</t>
    </r>
  </si>
  <si>
    <r>
      <t>b</t>
    </r>
    <r>
      <rPr>
        <vertAlign val="subscript"/>
        <sz val="11"/>
        <color theme="1"/>
        <rFont val="Calibri"/>
        <family val="2"/>
        <scheme val="minor"/>
      </rPr>
      <t>sh</t>
    </r>
  </si>
  <si>
    <r>
      <t>R</t>
    </r>
    <r>
      <rPr>
        <vertAlign val="subscript"/>
        <sz val="10"/>
        <color theme="1"/>
        <rFont val="Calibri"/>
        <family val="2"/>
        <scheme val="minor"/>
      </rPr>
      <t>sh</t>
    </r>
  </si>
  <si>
    <t>ΔR</t>
  </si>
  <si>
    <r>
      <t>[W/m</t>
    </r>
    <r>
      <rPr>
        <vertAlign val="superscript"/>
        <sz val="8"/>
        <color theme="1"/>
        <rFont val="Calibri"/>
        <family val="2"/>
        <scheme val="minor"/>
      </rPr>
      <t>2</t>
    </r>
    <r>
      <rPr>
        <sz val="8"/>
        <color theme="1"/>
        <rFont val="Calibri"/>
        <family val="2"/>
        <scheme val="minor"/>
      </rPr>
      <t>K]</t>
    </r>
  </si>
  <si>
    <r>
      <t>[m</t>
    </r>
    <r>
      <rPr>
        <vertAlign val="superscript"/>
        <sz val="11"/>
        <color theme="1"/>
        <rFont val="Calibri"/>
        <family val="2"/>
        <scheme val="minor"/>
      </rPr>
      <t>2</t>
    </r>
    <r>
      <rPr>
        <sz val="11"/>
        <color theme="1"/>
        <rFont val="Calibri"/>
        <family val="2"/>
        <scheme val="minor"/>
      </rPr>
      <t>]</t>
    </r>
  </si>
  <si>
    <r>
      <t xml:space="preserve"> [m</t>
    </r>
    <r>
      <rPr>
        <vertAlign val="superscript"/>
        <sz val="8"/>
        <color theme="1"/>
        <rFont val="Calibri"/>
        <family val="2"/>
        <scheme val="minor"/>
      </rPr>
      <t>2</t>
    </r>
    <r>
      <rPr>
        <sz val="8"/>
        <color theme="1"/>
        <rFont val="Calibri"/>
        <family val="2"/>
        <scheme val="minor"/>
      </rPr>
      <t>K/W]</t>
    </r>
  </si>
  <si>
    <t>F 0.04/d</t>
  </si>
  <si>
    <t>F 0.03/d</t>
  </si>
  <si>
    <t>F 1.05/d</t>
  </si>
  <si>
    <t>F 1.01/d</t>
  </si>
  <si>
    <t>F 1.02/d</t>
  </si>
  <si>
    <t>F 1.01/e</t>
  </si>
  <si>
    <t>F 0.03/e</t>
  </si>
  <si>
    <t>F 0.02/e</t>
  </si>
  <si>
    <t>F 0.01/f</t>
  </si>
  <si>
    <t>F 0.02/f</t>
  </si>
  <si>
    <t>F 1.01/g</t>
  </si>
  <si>
    <t>F 1.01/a</t>
  </si>
  <si>
    <t>F 1.02/a</t>
  </si>
  <si>
    <t>P 0.01/c</t>
  </si>
  <si>
    <t>F 1.01/c</t>
  </si>
  <si>
    <t>F 0.01/a</t>
  </si>
  <si>
    <t>F 0.01/b</t>
  </si>
  <si>
    <t>Foglio 9</t>
  </si>
  <si>
    <t>DATI GEOMETRICI</t>
  </si>
  <si>
    <t xml:space="preserve">Area </t>
  </si>
  <si>
    <t xml:space="preserve">Spessore </t>
  </si>
  <si>
    <t>Conduttività</t>
  </si>
  <si>
    <r>
      <t>U</t>
    </r>
    <r>
      <rPr>
        <b/>
        <vertAlign val="subscript"/>
        <sz val="10"/>
        <rFont val="Calibri"/>
        <family val="2"/>
        <scheme val="minor"/>
      </rPr>
      <t>g</t>
    </r>
  </si>
  <si>
    <t>Bordi</t>
  </si>
  <si>
    <t>Perimetro</t>
  </si>
  <si>
    <r>
      <t>λ</t>
    </r>
    <r>
      <rPr>
        <b/>
        <vertAlign val="subscript"/>
        <sz val="10"/>
        <rFont val="Calibri"/>
        <family val="2"/>
        <scheme val="minor"/>
      </rPr>
      <t>f</t>
    </r>
  </si>
  <si>
    <r>
      <t>A</t>
    </r>
    <r>
      <rPr>
        <vertAlign val="subscript"/>
        <sz val="11"/>
        <color theme="1"/>
        <rFont val="Calibri"/>
        <family val="2"/>
        <scheme val="minor"/>
      </rPr>
      <t>w</t>
    </r>
  </si>
  <si>
    <t>Aliquota</t>
  </si>
  <si>
    <t>Foglio 10</t>
  </si>
  <si>
    <t>Lato</t>
  </si>
  <si>
    <t>l</t>
  </si>
  <si>
    <t>Base</t>
  </si>
  <si>
    <t>Laterale</t>
  </si>
  <si>
    <t>Superiore</t>
  </si>
  <si>
    <t>Trasm. lineare</t>
  </si>
  <si>
    <t>Ψ</t>
  </si>
  <si>
    <t>Piano</t>
  </si>
  <si>
    <r>
      <t>s</t>
    </r>
    <r>
      <rPr>
        <b/>
        <vertAlign val="subscript"/>
        <sz val="11"/>
        <color theme="1"/>
        <rFont val="Calibri"/>
        <family val="2"/>
        <scheme val="minor"/>
      </rPr>
      <t>s</t>
    </r>
  </si>
  <si>
    <r>
      <t>R</t>
    </r>
    <r>
      <rPr>
        <b/>
        <vertAlign val="subscript"/>
        <sz val="11"/>
        <color theme="1"/>
        <rFont val="Calibri"/>
        <family val="2"/>
        <scheme val="minor"/>
      </rPr>
      <t>ms</t>
    </r>
  </si>
  <si>
    <r>
      <t>s</t>
    </r>
    <r>
      <rPr>
        <b/>
        <vertAlign val="subscript"/>
        <sz val="11"/>
        <color theme="1"/>
        <rFont val="Calibri"/>
        <family val="2"/>
        <scheme val="minor"/>
      </rPr>
      <t>p</t>
    </r>
  </si>
  <si>
    <r>
      <t>R</t>
    </r>
    <r>
      <rPr>
        <b/>
        <vertAlign val="subscript"/>
        <sz val="11"/>
        <color theme="1"/>
        <rFont val="Calibri"/>
        <family val="2"/>
        <scheme val="minor"/>
      </rPr>
      <t>mp</t>
    </r>
  </si>
  <si>
    <t>Terra</t>
  </si>
  <si>
    <t>Primo</t>
  </si>
  <si>
    <t>Sottotetto</t>
  </si>
  <si>
    <t>SOLAIO</t>
  </si>
  <si>
    <t>PARETE</t>
  </si>
  <si>
    <t>Vano scala</t>
  </si>
  <si>
    <t>Resistenza superficiale</t>
  </si>
  <si>
    <r>
      <t>R</t>
    </r>
    <r>
      <rPr>
        <b/>
        <vertAlign val="subscript"/>
        <sz val="10"/>
        <color theme="1"/>
        <rFont val="Calibri"/>
        <family val="2"/>
        <scheme val="minor"/>
      </rPr>
      <t>se</t>
    </r>
  </si>
  <si>
    <t>S</t>
  </si>
  <si>
    <t>[W]</t>
  </si>
  <si>
    <t>Mese</t>
  </si>
  <si>
    <t>N</t>
  </si>
  <si>
    <t>GENNAIO</t>
  </si>
  <si>
    <t>FEBBRAIO</t>
  </si>
  <si>
    <t>MARZO</t>
  </si>
  <si>
    <t>APRILE</t>
  </si>
  <si>
    <t>MAGGIO</t>
  </si>
  <si>
    <t>GIUGNO</t>
  </si>
  <si>
    <t>LUGLIO</t>
  </si>
  <si>
    <t>AGOSTO</t>
  </si>
  <si>
    <t>SETTEMBRE</t>
  </si>
  <si>
    <t>OTTOBRE</t>
  </si>
  <si>
    <t>NOVEMBRE</t>
  </si>
  <si>
    <t>DICEMBRE</t>
  </si>
  <si>
    <t>t</t>
  </si>
  <si>
    <t>[h]</t>
  </si>
  <si>
    <t>[kW h]</t>
  </si>
  <si>
    <t>OPACHI</t>
  </si>
  <si>
    <t>Resistenza termica</t>
  </si>
  <si>
    <t>TRASPARENTI</t>
  </si>
  <si>
    <t>DISPERSIONE TERMICA PER TRASMISSIONE (Hd)</t>
  </si>
  <si>
    <t>Opachi</t>
  </si>
  <si>
    <t>Trasparenti</t>
  </si>
  <si>
    <t>Totale</t>
  </si>
  <si>
    <t>TOTALE</t>
  </si>
  <si>
    <t>U∙A</t>
  </si>
  <si>
    <r>
      <t>U</t>
    </r>
    <r>
      <rPr>
        <b/>
        <vertAlign val="subscript"/>
        <sz val="11"/>
        <color theme="1"/>
        <rFont val="Calibri"/>
        <family val="2"/>
        <scheme val="minor"/>
      </rPr>
      <t>k</t>
    </r>
  </si>
  <si>
    <r>
      <t>A</t>
    </r>
    <r>
      <rPr>
        <b/>
        <vertAlign val="subscript"/>
        <sz val="11"/>
        <color theme="1"/>
        <rFont val="Calibri"/>
        <family val="2"/>
        <scheme val="minor"/>
      </rPr>
      <t>k</t>
    </r>
  </si>
  <si>
    <t>solaio sup.</t>
  </si>
  <si>
    <t>solaio inf.</t>
  </si>
  <si>
    <r>
      <t>DISPERSIONE TERMICA PER TRASMISSIONE VERSO L'ESTERNO ATTRAVERSO AMBIENTI NON RISCALDATI (H</t>
    </r>
    <r>
      <rPr>
        <b/>
        <vertAlign val="subscript"/>
        <sz val="8"/>
        <color theme="1"/>
        <rFont val="Calibri"/>
        <family val="2"/>
        <scheme val="minor"/>
      </rPr>
      <t>u</t>
    </r>
    <r>
      <rPr>
        <b/>
        <sz val="8"/>
        <color theme="1"/>
        <rFont val="Calibri"/>
        <family val="2"/>
        <scheme val="minor"/>
      </rPr>
      <t>)</t>
    </r>
  </si>
  <si>
    <t>IW4</t>
  </si>
  <si>
    <r>
      <t>[J/m</t>
    </r>
    <r>
      <rPr>
        <vertAlign val="superscript"/>
        <sz val="8"/>
        <color theme="1"/>
        <rFont val="Calibri"/>
        <family val="2"/>
        <scheme val="minor"/>
      </rPr>
      <t>3</t>
    </r>
    <r>
      <rPr>
        <sz val="8"/>
        <color theme="1"/>
        <rFont val="Calibri"/>
        <family val="2"/>
        <scheme val="minor"/>
      </rPr>
      <t>K]</t>
    </r>
  </si>
  <si>
    <t>b</t>
  </si>
  <si>
    <t>[V/h]</t>
  </si>
  <si>
    <t>n</t>
  </si>
  <si>
    <t>ρ*c</t>
  </si>
  <si>
    <t>Capacità termica volumica dell'aria</t>
  </si>
  <si>
    <t>Ricambi d'aria</t>
  </si>
  <si>
    <t>Coeff. globale di scambio termico per ventilazione</t>
  </si>
  <si>
    <t>Scambio termico tra ambienti climatizzati e ambienti non climatizzati</t>
  </si>
  <si>
    <r>
      <t>H</t>
    </r>
    <r>
      <rPr>
        <b/>
        <vertAlign val="subscript"/>
        <sz val="10"/>
        <color theme="1"/>
        <rFont val="Calibri"/>
        <family val="2"/>
        <scheme val="minor"/>
      </rPr>
      <t>T,iu</t>
    </r>
  </si>
  <si>
    <r>
      <t>H</t>
    </r>
    <r>
      <rPr>
        <b/>
        <vertAlign val="subscript"/>
        <sz val="10"/>
        <color theme="1"/>
        <rFont val="Calibri"/>
        <family val="2"/>
        <scheme val="minor"/>
      </rPr>
      <t>V,iu</t>
    </r>
  </si>
  <si>
    <r>
      <t>H</t>
    </r>
    <r>
      <rPr>
        <b/>
        <vertAlign val="subscript"/>
        <sz val="10"/>
        <color theme="1"/>
        <rFont val="Calibri"/>
        <family val="2"/>
        <scheme val="minor"/>
      </rPr>
      <t>iu</t>
    </r>
  </si>
  <si>
    <r>
      <rPr>
        <b/>
        <sz val="11"/>
        <color theme="1"/>
        <rFont val="Calibri"/>
        <family val="2"/>
      </rPr>
      <t>U</t>
    </r>
    <r>
      <rPr>
        <b/>
        <vertAlign val="subscript"/>
        <sz val="11"/>
        <color theme="1"/>
        <rFont val="Calibri"/>
        <family val="2"/>
      </rPr>
      <t>k</t>
    </r>
    <r>
      <rPr>
        <b/>
        <sz val="11"/>
        <color theme="1"/>
        <rFont val="Calibri"/>
        <family val="2"/>
      </rPr>
      <t>·</t>
    </r>
    <r>
      <rPr>
        <b/>
        <sz val="11"/>
        <color theme="1"/>
        <rFont val="Calibri"/>
        <family val="2"/>
        <scheme val="minor"/>
      </rPr>
      <t>A</t>
    </r>
    <r>
      <rPr>
        <b/>
        <vertAlign val="subscript"/>
        <sz val="11"/>
        <color theme="1"/>
        <rFont val="Calibri"/>
        <family val="2"/>
        <scheme val="minor"/>
      </rPr>
      <t>k</t>
    </r>
  </si>
  <si>
    <t>PTV 33</t>
  </si>
  <si>
    <t>PTO-S31</t>
  </si>
  <si>
    <t>PTO-S32</t>
  </si>
  <si>
    <t>PTO-P32</t>
  </si>
  <si>
    <t>PTO-S33</t>
  </si>
  <si>
    <t>PTO-P33</t>
  </si>
  <si>
    <r>
      <t>H</t>
    </r>
    <r>
      <rPr>
        <b/>
        <vertAlign val="subscript"/>
        <sz val="10"/>
        <color theme="1"/>
        <rFont val="Calibri"/>
        <family val="2"/>
        <scheme val="minor"/>
      </rPr>
      <t>T,ue</t>
    </r>
  </si>
  <si>
    <r>
      <t>H</t>
    </r>
    <r>
      <rPr>
        <b/>
        <vertAlign val="subscript"/>
        <sz val="10"/>
        <color theme="1"/>
        <rFont val="Calibri"/>
        <family val="2"/>
        <scheme val="minor"/>
      </rPr>
      <t>V,ue</t>
    </r>
  </si>
  <si>
    <r>
      <t>H</t>
    </r>
    <r>
      <rPr>
        <b/>
        <vertAlign val="subscript"/>
        <sz val="10"/>
        <color theme="1"/>
        <rFont val="Calibri"/>
        <family val="2"/>
        <scheme val="minor"/>
      </rPr>
      <t>ue</t>
    </r>
  </si>
  <si>
    <t>Fattore di correzione</t>
  </si>
  <si>
    <r>
      <t>b</t>
    </r>
    <r>
      <rPr>
        <b/>
        <vertAlign val="subscript"/>
        <sz val="10"/>
        <color theme="1"/>
        <rFont val="Calibri"/>
        <family val="2"/>
        <scheme val="minor"/>
      </rPr>
      <t>u</t>
    </r>
  </si>
  <si>
    <t xml:space="preserve">F 0.01-2/f </t>
  </si>
  <si>
    <t xml:space="preserve">F 2.01...6/f </t>
  </si>
  <si>
    <t>Rif.</t>
  </si>
  <si>
    <t>Componente</t>
  </si>
  <si>
    <r>
      <t>H</t>
    </r>
    <r>
      <rPr>
        <b/>
        <vertAlign val="subscript"/>
        <sz val="20"/>
        <color theme="0"/>
        <rFont val="Calibri"/>
        <family val="2"/>
        <scheme val="minor"/>
      </rPr>
      <t>u</t>
    </r>
  </si>
  <si>
    <r>
      <t>SCAMBIO TERMICO PER TRASMISSIONE VERSO IL TERRENO (H</t>
    </r>
    <r>
      <rPr>
        <b/>
        <vertAlign val="subscript"/>
        <sz val="9"/>
        <color theme="1"/>
        <rFont val="Calibri"/>
        <family val="2"/>
        <scheme val="minor"/>
      </rPr>
      <t>g</t>
    </r>
    <r>
      <rPr>
        <b/>
        <sz val="9"/>
        <color theme="1"/>
        <rFont val="Calibri"/>
        <family val="2"/>
        <scheme val="minor"/>
      </rPr>
      <t>)</t>
    </r>
  </si>
  <si>
    <t>Ground</t>
  </si>
  <si>
    <t>Thermal conductivity</t>
  </si>
  <si>
    <t>Heat capacity per volume</t>
  </si>
  <si>
    <t>ρc</t>
  </si>
  <si>
    <t>Clay or silt</t>
  </si>
  <si>
    <t>Direzione del flusso termico</t>
  </si>
  <si>
    <t>Ascendente</t>
  </si>
  <si>
    <t>Orizzontale</t>
  </si>
  <si>
    <t>Discendente</t>
  </si>
  <si>
    <r>
      <t>R</t>
    </r>
    <r>
      <rPr>
        <b/>
        <vertAlign val="subscript"/>
        <sz val="11"/>
        <color theme="1"/>
        <rFont val="Calibri"/>
        <family val="2"/>
        <scheme val="minor"/>
      </rPr>
      <t>si</t>
    </r>
  </si>
  <si>
    <r>
      <t>R</t>
    </r>
    <r>
      <rPr>
        <b/>
        <vertAlign val="subscript"/>
        <sz val="11"/>
        <color theme="1"/>
        <rFont val="Calibri"/>
        <family val="2"/>
        <scheme val="minor"/>
      </rPr>
      <t>se</t>
    </r>
  </si>
  <si>
    <t>Perimetro "esposto"</t>
  </si>
  <si>
    <t>Dimensione caratteristica</t>
  </si>
  <si>
    <t>Spessore parete esterna</t>
  </si>
  <si>
    <t>Spessore equivalente di terreno</t>
  </si>
  <si>
    <t>Resistenza termica solaio</t>
  </si>
  <si>
    <t>P</t>
  </si>
  <si>
    <t>B'</t>
  </si>
  <si>
    <t>w</t>
  </si>
  <si>
    <r>
      <t>d</t>
    </r>
    <r>
      <rPr>
        <vertAlign val="subscript"/>
        <sz val="11"/>
        <color theme="1"/>
        <rFont val="Calibri"/>
        <family val="2"/>
        <scheme val="minor"/>
      </rPr>
      <t>g</t>
    </r>
  </si>
  <si>
    <r>
      <t>R</t>
    </r>
    <r>
      <rPr>
        <b/>
        <vertAlign val="subscript"/>
        <sz val="11"/>
        <color theme="1"/>
        <rFont val="Calibri"/>
        <family val="2"/>
        <scheme val="minor"/>
      </rPr>
      <t>f</t>
    </r>
  </si>
  <si>
    <r>
      <t>[m</t>
    </r>
    <r>
      <rPr>
        <vertAlign val="superscript"/>
        <sz val="8"/>
        <color theme="1"/>
        <rFont val="Calibri"/>
        <family val="2"/>
        <scheme val="minor"/>
      </rPr>
      <t>2</t>
    </r>
    <r>
      <rPr>
        <sz val="8"/>
        <color theme="1"/>
        <rFont val="Calibri"/>
        <family val="2"/>
        <scheme val="minor"/>
      </rPr>
      <t>K/W]</t>
    </r>
  </si>
  <si>
    <t>Spessore equivalente</t>
  </si>
  <si>
    <r>
      <t>d</t>
    </r>
    <r>
      <rPr>
        <b/>
        <vertAlign val="subscript"/>
        <sz val="11"/>
        <color theme="1"/>
        <rFont val="Calibri"/>
        <family val="2"/>
        <scheme val="minor"/>
      </rPr>
      <t>t</t>
    </r>
  </si>
  <si>
    <r>
      <t>U</t>
    </r>
    <r>
      <rPr>
        <b/>
        <sz val="11"/>
        <color theme="1"/>
        <rFont val="Calibri"/>
        <family val="2"/>
      </rPr>
      <t>·A</t>
    </r>
  </si>
  <si>
    <r>
      <rPr>
        <b/>
        <sz val="11"/>
        <color theme="1"/>
        <rFont val="Calibri"/>
        <family val="2"/>
      </rPr>
      <t>Ψ</t>
    </r>
    <r>
      <rPr>
        <b/>
        <vertAlign val="subscript"/>
        <sz val="11"/>
        <color theme="1"/>
        <rFont val="Calibri"/>
        <family val="2"/>
        <scheme val="minor"/>
      </rPr>
      <t>g</t>
    </r>
  </si>
  <si>
    <r>
      <t>l</t>
    </r>
    <r>
      <rPr>
        <b/>
        <vertAlign val="subscript"/>
        <sz val="11"/>
        <color theme="1"/>
        <rFont val="Calibri"/>
        <family val="2"/>
        <scheme val="minor"/>
      </rPr>
      <t>g</t>
    </r>
  </si>
  <si>
    <r>
      <rPr>
        <b/>
        <sz val="11"/>
        <color theme="1"/>
        <rFont val="Calibri"/>
        <family val="2"/>
      </rPr>
      <t>Ψ</t>
    </r>
    <r>
      <rPr>
        <b/>
        <vertAlign val="subscript"/>
        <sz val="11"/>
        <color theme="1"/>
        <rFont val="Calibri"/>
        <family val="2"/>
        <scheme val="minor"/>
      </rPr>
      <t>g</t>
    </r>
    <r>
      <rPr>
        <b/>
        <sz val="11"/>
        <color theme="1"/>
        <rFont val="Calibri"/>
        <family val="2"/>
      </rPr>
      <t>·</t>
    </r>
    <r>
      <rPr>
        <b/>
        <sz val="11"/>
        <color theme="1"/>
        <rFont val="Calibri"/>
        <family val="2"/>
        <scheme val="minor"/>
      </rPr>
      <t>l</t>
    </r>
    <r>
      <rPr>
        <b/>
        <vertAlign val="subscript"/>
        <sz val="11"/>
        <color theme="1"/>
        <rFont val="Calibri"/>
        <family val="2"/>
        <scheme val="minor"/>
      </rPr>
      <t>g</t>
    </r>
  </si>
  <si>
    <r>
      <t>H</t>
    </r>
    <r>
      <rPr>
        <b/>
        <vertAlign val="subscript"/>
        <sz val="20"/>
        <color theme="0"/>
        <rFont val="Calibri"/>
        <family val="2"/>
        <scheme val="minor"/>
      </rPr>
      <t>g</t>
    </r>
  </si>
  <si>
    <t>Foglio9</t>
  </si>
  <si>
    <r>
      <t>Ambienti climatizzati - ambienti non climatizzati: contributo per trasmissione H</t>
    </r>
    <r>
      <rPr>
        <b/>
        <vertAlign val="subscript"/>
        <sz val="12"/>
        <color theme="0"/>
        <rFont val="Calibri"/>
        <family val="2"/>
        <scheme val="minor"/>
      </rPr>
      <t>T,iu</t>
    </r>
  </si>
  <si>
    <r>
      <t>Ambienti climatizzati - ambienti non climatizzati: contributo per ventilazione H</t>
    </r>
    <r>
      <rPr>
        <b/>
        <vertAlign val="subscript"/>
        <sz val="10"/>
        <color theme="0"/>
        <rFont val="Calibri"/>
        <family val="2"/>
        <scheme val="minor"/>
      </rPr>
      <t>V,iu</t>
    </r>
  </si>
  <si>
    <r>
      <t>Ambienti non climatizzati - ambiente esterno: contributo per trasmissione H</t>
    </r>
    <r>
      <rPr>
        <b/>
        <vertAlign val="subscript"/>
        <sz val="10"/>
        <color theme="0"/>
        <rFont val="Calibri"/>
        <family val="2"/>
        <scheme val="minor"/>
      </rPr>
      <t>T,ue</t>
    </r>
  </si>
  <si>
    <r>
      <t>Ambienti non climatizzati - ambiente esterno: contributo per ventilazione H</t>
    </r>
    <r>
      <rPr>
        <b/>
        <vertAlign val="subscript"/>
        <sz val="10"/>
        <color theme="0"/>
        <rFont val="Calibri"/>
        <family val="2"/>
        <scheme val="minor"/>
      </rPr>
      <t>V,ue</t>
    </r>
  </si>
  <si>
    <r>
      <t>A</t>
    </r>
    <r>
      <rPr>
        <b/>
        <vertAlign val="subscript"/>
        <sz val="11"/>
        <color theme="1"/>
        <rFont val="Calibri"/>
        <family val="2"/>
        <scheme val="minor"/>
      </rPr>
      <t>f</t>
    </r>
  </si>
  <si>
    <r>
      <t>Φ</t>
    </r>
    <r>
      <rPr>
        <vertAlign val="subscript"/>
        <sz val="11"/>
        <color theme="1"/>
        <rFont val="Calibri"/>
        <family val="2"/>
      </rPr>
      <t>int</t>
    </r>
  </si>
  <si>
    <t>Sup. utile di pavimento</t>
  </si>
  <si>
    <r>
      <t>Φ</t>
    </r>
    <r>
      <rPr>
        <b/>
        <vertAlign val="subscript"/>
        <sz val="10"/>
        <color theme="1"/>
        <rFont val="Calibri"/>
        <family val="2"/>
        <scheme val="minor"/>
      </rPr>
      <t>int</t>
    </r>
  </si>
  <si>
    <r>
      <t>Q</t>
    </r>
    <r>
      <rPr>
        <b/>
        <vertAlign val="subscript"/>
        <sz val="10"/>
        <color theme="1"/>
        <rFont val="Calibri"/>
        <family val="2"/>
        <scheme val="minor"/>
      </rPr>
      <t>int</t>
    </r>
  </si>
  <si>
    <t>Quantità di calore dovuta agli apporti termici interni per l'intero edificio:</t>
  </si>
  <si>
    <r>
      <t>A</t>
    </r>
    <r>
      <rPr>
        <b/>
        <vertAlign val="subscript"/>
        <sz val="10"/>
        <color theme="1"/>
        <rFont val="Calibri"/>
        <family val="2"/>
        <scheme val="minor"/>
      </rPr>
      <t xml:space="preserve">f,tot </t>
    </r>
    <r>
      <rPr>
        <b/>
        <sz val="10"/>
        <color theme="1"/>
        <rFont val="Calibri"/>
        <family val="2"/>
        <scheme val="minor"/>
      </rPr>
      <t xml:space="preserve"> </t>
    </r>
    <r>
      <rPr>
        <b/>
        <sz val="8"/>
        <color theme="1"/>
        <rFont val="Calibri"/>
        <family val="2"/>
        <scheme val="minor"/>
      </rPr>
      <t xml:space="preserve"> </t>
    </r>
    <r>
      <rPr>
        <sz val="8"/>
        <color theme="1"/>
        <rFont val="Calibri"/>
        <family val="2"/>
        <scheme val="minor"/>
      </rPr>
      <t>[m</t>
    </r>
    <r>
      <rPr>
        <vertAlign val="superscript"/>
        <sz val="8"/>
        <color theme="1"/>
        <rFont val="Calibri"/>
        <family val="2"/>
        <scheme val="minor"/>
      </rPr>
      <t>2</t>
    </r>
    <r>
      <rPr>
        <sz val="8"/>
        <color theme="1"/>
        <rFont val="Calibri"/>
        <family val="2"/>
        <scheme val="minor"/>
      </rPr>
      <t>]</t>
    </r>
  </si>
  <si>
    <t>AREA DI CAPTAZIONE SOLARE DEI COMPONENTI OPACHI</t>
  </si>
  <si>
    <t>Fattore di assorbimento solare</t>
  </si>
  <si>
    <t>Area di captazione solare</t>
  </si>
  <si>
    <r>
      <t>α</t>
    </r>
    <r>
      <rPr>
        <b/>
        <vertAlign val="subscript"/>
        <sz val="10"/>
        <color theme="1"/>
        <rFont val="Calibri"/>
        <family val="2"/>
      </rPr>
      <t>sol,c</t>
    </r>
  </si>
  <si>
    <r>
      <t>U</t>
    </r>
    <r>
      <rPr>
        <b/>
        <vertAlign val="subscript"/>
        <sz val="10"/>
        <color theme="1"/>
        <rFont val="Calibri"/>
        <family val="2"/>
        <scheme val="minor"/>
      </rPr>
      <t>c</t>
    </r>
  </si>
  <si>
    <r>
      <t>A</t>
    </r>
    <r>
      <rPr>
        <b/>
        <vertAlign val="subscript"/>
        <sz val="10"/>
        <color theme="1"/>
        <rFont val="Calibri"/>
        <family val="2"/>
        <scheme val="minor"/>
      </rPr>
      <t>c</t>
    </r>
  </si>
  <si>
    <r>
      <t>A</t>
    </r>
    <r>
      <rPr>
        <b/>
        <vertAlign val="subscript"/>
        <sz val="10"/>
        <color theme="1"/>
        <rFont val="Calibri"/>
        <family val="2"/>
        <scheme val="minor"/>
      </rPr>
      <t>sol</t>
    </r>
  </si>
  <si>
    <t>Rif. Componente</t>
  </si>
  <si>
    <t>Fattore di riduzione per schermature mobili</t>
  </si>
  <si>
    <t>Trasmittanza di energia solare totale</t>
  </si>
  <si>
    <t>Trasmittanza di en.solare con schermatura</t>
  </si>
  <si>
    <t>Fattore di riduzione degli apporti solari</t>
  </si>
  <si>
    <t>Fattore di correzione telaio</t>
  </si>
  <si>
    <t>Area totale componente vetrato</t>
  </si>
  <si>
    <r>
      <t>f</t>
    </r>
    <r>
      <rPr>
        <b/>
        <vertAlign val="subscript"/>
        <sz val="10"/>
        <color theme="1"/>
        <rFont val="Calibri"/>
        <family val="2"/>
        <scheme val="minor"/>
      </rPr>
      <t>sh,with</t>
    </r>
  </si>
  <si>
    <r>
      <t>g</t>
    </r>
    <r>
      <rPr>
        <b/>
        <vertAlign val="subscript"/>
        <sz val="10"/>
        <color theme="1"/>
        <rFont val="Calibri"/>
        <family val="2"/>
        <scheme val="minor"/>
      </rPr>
      <t>gl</t>
    </r>
  </si>
  <si>
    <r>
      <t>g</t>
    </r>
    <r>
      <rPr>
        <b/>
        <vertAlign val="subscript"/>
        <sz val="10"/>
        <color theme="1"/>
        <rFont val="Calibri"/>
        <family val="2"/>
        <scheme val="minor"/>
      </rPr>
      <t>gl sh</t>
    </r>
  </si>
  <si>
    <r>
      <t>F</t>
    </r>
    <r>
      <rPr>
        <b/>
        <vertAlign val="subscript"/>
        <sz val="10"/>
        <color theme="1"/>
        <rFont val="Calibri"/>
        <family val="2"/>
        <scheme val="minor"/>
      </rPr>
      <t>sh,gl</t>
    </r>
  </si>
  <si>
    <r>
      <t>F</t>
    </r>
    <r>
      <rPr>
        <b/>
        <vertAlign val="subscript"/>
        <sz val="10"/>
        <color theme="1"/>
        <rFont val="Calibri"/>
        <family val="2"/>
        <scheme val="minor"/>
      </rPr>
      <t>F</t>
    </r>
  </si>
  <si>
    <r>
      <t>A</t>
    </r>
    <r>
      <rPr>
        <b/>
        <vertAlign val="subscript"/>
        <sz val="10"/>
        <color theme="1"/>
        <rFont val="Calibri"/>
        <family val="2"/>
        <scheme val="minor"/>
      </rPr>
      <t>w,p</t>
    </r>
  </si>
  <si>
    <t>AREA DI CAPTAZIONE SOLARE DEI COMPONENTI TRASPARENTI</t>
  </si>
  <si>
    <t>Latitudine</t>
  </si>
  <si>
    <t>Longitudine</t>
  </si>
  <si>
    <t>E / O</t>
  </si>
  <si>
    <r>
      <t>I</t>
    </r>
    <r>
      <rPr>
        <b/>
        <vertAlign val="subscript"/>
        <sz val="10"/>
        <color theme="1"/>
        <rFont val="Calibri"/>
        <family val="2"/>
        <scheme val="minor"/>
      </rPr>
      <t>sol</t>
    </r>
  </si>
  <si>
    <r>
      <t>[MJ/m</t>
    </r>
    <r>
      <rPr>
        <vertAlign val="superscript"/>
        <sz val="8"/>
        <color theme="1"/>
        <rFont val="Calibri"/>
        <family val="2"/>
        <scheme val="minor"/>
      </rPr>
      <t>2</t>
    </r>
    <r>
      <rPr>
        <sz val="8"/>
        <color theme="1"/>
        <rFont val="Calibri"/>
        <family val="2"/>
        <scheme val="minor"/>
      </rPr>
      <t>]</t>
    </r>
  </si>
  <si>
    <t>IRRADIAZIONE SOLARE GIORNALIERA MEDIA MENSILE</t>
  </si>
  <si>
    <t>Rif. componente</t>
  </si>
  <si>
    <t>Quantità di calore dovuta agli apporti termici solari per l'intero edificio:</t>
  </si>
  <si>
    <r>
      <t>Q</t>
    </r>
    <r>
      <rPr>
        <b/>
        <vertAlign val="subscript"/>
        <sz val="10"/>
        <color theme="1"/>
        <rFont val="Calibri"/>
        <family val="2"/>
        <scheme val="minor"/>
      </rPr>
      <t>sol</t>
    </r>
  </si>
  <si>
    <t>Scambio termico tra ambienti climatizzati ed ambiente esterno</t>
  </si>
  <si>
    <r>
      <t>H</t>
    </r>
    <r>
      <rPr>
        <vertAlign val="subscript"/>
        <sz val="12"/>
        <color theme="1"/>
        <rFont val="Calibri"/>
        <family val="2"/>
        <scheme val="minor"/>
      </rPr>
      <t>g</t>
    </r>
  </si>
  <si>
    <r>
      <t>H</t>
    </r>
    <r>
      <rPr>
        <vertAlign val="subscript"/>
        <sz val="12"/>
        <color theme="1"/>
        <rFont val="Calibri"/>
        <family val="2"/>
        <scheme val="minor"/>
      </rPr>
      <t>d</t>
    </r>
  </si>
  <si>
    <r>
      <t>U</t>
    </r>
    <r>
      <rPr>
        <b/>
        <vertAlign val="subscript"/>
        <sz val="11"/>
        <color theme="1"/>
        <rFont val="Calibri"/>
        <family val="2"/>
        <scheme val="minor"/>
      </rPr>
      <t>W</t>
    </r>
  </si>
  <si>
    <r>
      <t>U</t>
    </r>
    <r>
      <rPr>
        <b/>
        <vertAlign val="subscript"/>
        <sz val="11"/>
        <color theme="1"/>
        <rFont val="Calibri"/>
        <family val="2"/>
        <scheme val="minor"/>
      </rPr>
      <t>WS</t>
    </r>
  </si>
  <si>
    <r>
      <t>U</t>
    </r>
    <r>
      <rPr>
        <sz val="11"/>
        <color theme="1"/>
        <rFont val="Calibri"/>
        <family val="2"/>
      </rPr>
      <t>∙</t>
    </r>
    <r>
      <rPr>
        <sz val="11"/>
        <color theme="1"/>
        <rFont val="Calibri"/>
        <family val="2"/>
        <scheme val="minor"/>
      </rPr>
      <t>A</t>
    </r>
  </si>
  <si>
    <t>SCAMBIO TERMICO PER TRASMISSIONE</t>
  </si>
  <si>
    <r>
      <t>H</t>
    </r>
    <r>
      <rPr>
        <b/>
        <vertAlign val="subscript"/>
        <sz val="10"/>
        <color theme="1"/>
        <rFont val="Calibri"/>
        <family val="2"/>
        <scheme val="minor"/>
      </rPr>
      <t>d</t>
    </r>
  </si>
  <si>
    <r>
      <t>H</t>
    </r>
    <r>
      <rPr>
        <b/>
        <vertAlign val="subscript"/>
        <sz val="10"/>
        <color theme="1"/>
        <rFont val="Calibri"/>
        <family val="2"/>
        <scheme val="minor"/>
      </rPr>
      <t>u</t>
    </r>
  </si>
  <si>
    <r>
      <t>H</t>
    </r>
    <r>
      <rPr>
        <b/>
        <vertAlign val="subscript"/>
        <sz val="10"/>
        <color theme="1"/>
        <rFont val="Calibri"/>
        <family val="2"/>
        <scheme val="minor"/>
      </rPr>
      <t>g</t>
    </r>
  </si>
  <si>
    <r>
      <t>H</t>
    </r>
    <r>
      <rPr>
        <b/>
        <vertAlign val="subscript"/>
        <sz val="10"/>
        <color theme="1"/>
        <rFont val="Calibri"/>
        <family val="2"/>
        <scheme val="minor"/>
      </rPr>
      <t>a</t>
    </r>
  </si>
  <si>
    <r>
      <t>H</t>
    </r>
    <r>
      <rPr>
        <b/>
        <vertAlign val="subscript"/>
        <sz val="10"/>
        <color theme="1"/>
        <rFont val="Calibri"/>
        <family val="2"/>
        <scheme val="minor"/>
      </rPr>
      <t>tr</t>
    </r>
  </si>
  <si>
    <t>τ</t>
  </si>
  <si>
    <t>δ</t>
  </si>
  <si>
    <r>
      <t>[m</t>
    </r>
    <r>
      <rPr>
        <vertAlign val="superscript"/>
        <sz val="8"/>
        <color theme="1"/>
        <rFont val="Calibri"/>
        <family val="2"/>
      </rPr>
      <t>2</t>
    </r>
    <r>
      <rPr>
        <sz val="8"/>
        <color theme="1"/>
        <rFont val="Calibri"/>
        <family val="2"/>
      </rPr>
      <t>]</t>
    </r>
  </si>
  <si>
    <r>
      <t>[m</t>
    </r>
    <r>
      <rPr>
        <sz val="8"/>
        <color theme="1"/>
        <rFont val="Calibri"/>
        <family val="2"/>
      </rPr>
      <t>]</t>
    </r>
  </si>
  <si>
    <t>[°C]</t>
  </si>
  <si>
    <r>
      <rPr>
        <b/>
        <u/>
        <sz val="11"/>
        <color theme="1"/>
        <rFont val="Calibri"/>
        <family val="2"/>
        <scheme val="minor"/>
      </rPr>
      <t>͘θ</t>
    </r>
    <r>
      <rPr>
        <b/>
        <u/>
        <vertAlign val="subscript"/>
        <sz val="11"/>
        <rFont val="Calibri"/>
        <family val="2"/>
      </rPr>
      <t>i</t>
    </r>
  </si>
  <si>
    <r>
      <rPr>
        <b/>
        <u/>
        <sz val="11"/>
        <color theme="1"/>
        <rFont val="Calibri"/>
        <family val="2"/>
        <scheme val="minor"/>
      </rPr>
      <t>͘θ</t>
    </r>
    <r>
      <rPr>
        <b/>
        <u/>
        <vertAlign val="subscript"/>
        <sz val="11"/>
        <rFont val="Calibri"/>
        <family val="2"/>
      </rPr>
      <t>e</t>
    </r>
  </si>
  <si>
    <r>
      <t>͘θ^</t>
    </r>
    <r>
      <rPr>
        <b/>
        <u/>
        <vertAlign val="subscript"/>
        <sz val="11"/>
        <rFont val="Calibri"/>
        <family val="2"/>
      </rPr>
      <t>i</t>
    </r>
  </si>
  <si>
    <r>
      <rPr>
        <b/>
        <sz val="11"/>
        <color theme="1"/>
        <rFont val="Calibri"/>
        <family val="2"/>
        <scheme val="minor"/>
      </rPr>
      <t>͘θ^</t>
    </r>
    <r>
      <rPr>
        <b/>
        <vertAlign val="subscript"/>
        <sz val="11"/>
        <rFont val="Calibri"/>
        <family val="2"/>
      </rPr>
      <t>e</t>
    </r>
  </si>
  <si>
    <r>
      <t>H</t>
    </r>
    <r>
      <rPr>
        <b/>
        <vertAlign val="subscript"/>
        <sz val="11"/>
        <color theme="1"/>
        <rFont val="Calibri"/>
        <family val="2"/>
        <scheme val="minor"/>
      </rPr>
      <t>pi</t>
    </r>
  </si>
  <si>
    <r>
      <t>H</t>
    </r>
    <r>
      <rPr>
        <b/>
        <vertAlign val="subscript"/>
        <sz val="11"/>
        <color theme="1"/>
        <rFont val="Calibri"/>
        <family val="2"/>
        <scheme val="minor"/>
      </rPr>
      <t>pe</t>
    </r>
  </si>
  <si>
    <r>
      <t>APPORTI INTERNI Q</t>
    </r>
    <r>
      <rPr>
        <b/>
        <vertAlign val="subscript"/>
        <sz val="10"/>
        <color theme="0"/>
        <rFont val="Calibri"/>
        <family val="2"/>
        <scheme val="minor"/>
      </rPr>
      <t xml:space="preserve">int           </t>
    </r>
  </si>
  <si>
    <t>1 Novembre - 15 Aprile</t>
  </si>
  <si>
    <t>m</t>
  </si>
  <si>
    <r>
      <t>θ</t>
    </r>
    <r>
      <rPr>
        <b/>
        <vertAlign val="subscript"/>
        <sz val="11"/>
        <color theme="1"/>
        <rFont val="Calibri"/>
        <family val="2"/>
      </rPr>
      <t>i,m</t>
    </r>
  </si>
  <si>
    <r>
      <t>θ</t>
    </r>
    <r>
      <rPr>
        <b/>
        <vertAlign val="subscript"/>
        <sz val="11"/>
        <color theme="1"/>
        <rFont val="Calibri"/>
        <family val="2"/>
      </rPr>
      <t>e,m</t>
    </r>
  </si>
  <si>
    <r>
      <t>φ</t>
    </r>
    <r>
      <rPr>
        <b/>
        <vertAlign val="subscript"/>
        <sz val="8.8000000000000007"/>
        <color theme="1"/>
        <rFont val="Calibri"/>
        <family val="2"/>
      </rPr>
      <t>m</t>
    </r>
  </si>
  <si>
    <r>
      <t>H</t>
    </r>
    <r>
      <rPr>
        <b/>
        <vertAlign val="subscript"/>
        <sz val="11"/>
        <color theme="1"/>
        <rFont val="Calibri"/>
        <family val="2"/>
        <scheme val="minor"/>
      </rPr>
      <t>g,m</t>
    </r>
  </si>
  <si>
    <t>01</t>
  </si>
  <si>
    <t>02</t>
  </si>
  <si>
    <t>03</t>
  </si>
  <si>
    <t>04</t>
  </si>
  <si>
    <t xml:space="preserve">COEFFICIENTE GLOBALE DI SCAMBIO TERMICO PER TRASMISSIONE                     </t>
  </si>
  <si>
    <r>
      <t>Φ</t>
    </r>
    <r>
      <rPr>
        <b/>
        <vertAlign val="subscript"/>
        <sz val="20"/>
        <color theme="0"/>
        <rFont val="Calibri"/>
        <family val="2"/>
        <scheme val="minor"/>
      </rPr>
      <t xml:space="preserve">int                        </t>
    </r>
  </si>
  <si>
    <r>
      <t xml:space="preserve">CALCOLO DELLA POTENZA TERMICA DISPERSA MENSILMENTE </t>
    </r>
    <r>
      <rPr>
        <b/>
        <sz val="14"/>
        <color theme="0"/>
        <rFont val="Calibri"/>
        <family val="2"/>
      </rPr>
      <t>Φ</t>
    </r>
    <r>
      <rPr>
        <b/>
        <vertAlign val="subscript"/>
        <sz val="14"/>
        <color theme="0"/>
        <rFont val="Calibri"/>
        <family val="2"/>
      </rPr>
      <t>m</t>
    </r>
    <r>
      <rPr>
        <b/>
        <sz val="14"/>
        <color theme="0"/>
        <rFont val="Calibri"/>
        <family val="2"/>
      </rPr>
      <t xml:space="preserve"> </t>
    </r>
    <r>
      <rPr>
        <b/>
        <sz val="14"/>
        <color theme="0"/>
        <rFont val="Calibri"/>
        <family val="2"/>
        <scheme val="minor"/>
      </rPr>
      <t>E DEL COEFFICIENTE MENSILE DI TRASFERIMENTO DI CALORE VERSO IL TERRENO H</t>
    </r>
    <r>
      <rPr>
        <b/>
        <vertAlign val="subscript"/>
        <sz val="14"/>
        <color theme="0"/>
        <rFont val="Calibri"/>
        <family val="2"/>
        <scheme val="minor"/>
      </rPr>
      <t>g,m</t>
    </r>
  </si>
  <si>
    <t>DATI IN INGRESSO</t>
  </si>
  <si>
    <t>SCAMBIO TERMICO PER VENTILAZIONE</t>
  </si>
  <si>
    <t xml:space="preserve">TEMPERATURE MEDIE MENSILI   </t>
  </si>
  <si>
    <r>
      <t>[m</t>
    </r>
    <r>
      <rPr>
        <vertAlign val="superscript"/>
        <sz val="8"/>
        <color theme="1"/>
        <rFont val="Calibri"/>
        <family val="2"/>
        <scheme val="minor"/>
      </rPr>
      <t>-1</t>
    </r>
    <r>
      <rPr>
        <sz val="8"/>
        <color theme="1"/>
        <rFont val="Calibri"/>
        <family val="2"/>
        <scheme val="minor"/>
      </rPr>
      <t>]</t>
    </r>
  </si>
  <si>
    <t>Fattore correzione t.</t>
  </si>
  <si>
    <t>Num. ricambi d'aria</t>
  </si>
  <si>
    <t>Coefficiente globale scambio termico per ventilazione</t>
  </si>
  <si>
    <r>
      <t>H</t>
    </r>
    <r>
      <rPr>
        <b/>
        <vertAlign val="subscript"/>
        <sz val="10"/>
        <color theme="1"/>
        <rFont val="Calibri"/>
        <family val="2"/>
        <scheme val="minor"/>
      </rPr>
      <t>ve</t>
    </r>
  </si>
  <si>
    <r>
      <t>H</t>
    </r>
    <r>
      <rPr>
        <vertAlign val="subscript"/>
        <sz val="11"/>
        <color theme="1"/>
        <rFont val="Calibri"/>
        <family val="2"/>
        <scheme val="minor"/>
      </rPr>
      <t>ve</t>
    </r>
  </si>
  <si>
    <r>
      <t>H</t>
    </r>
    <r>
      <rPr>
        <b/>
        <vertAlign val="subscript"/>
        <sz val="16"/>
        <color theme="0"/>
        <rFont val="Calibri"/>
        <family val="2"/>
        <scheme val="minor"/>
      </rPr>
      <t>ve</t>
    </r>
  </si>
  <si>
    <r>
      <t>H</t>
    </r>
    <r>
      <rPr>
        <b/>
        <vertAlign val="subscript"/>
        <sz val="10"/>
        <color theme="1"/>
        <rFont val="Calibri"/>
        <family val="2"/>
        <scheme val="minor"/>
      </rPr>
      <t>ve,TOT</t>
    </r>
  </si>
  <si>
    <t>Ore funzionamento impianto di riscaldamento</t>
  </si>
  <si>
    <t>Temperatura interna di progetto</t>
  </si>
  <si>
    <r>
      <t>θ</t>
    </r>
    <r>
      <rPr>
        <b/>
        <vertAlign val="subscript"/>
        <sz val="10"/>
        <color theme="1"/>
        <rFont val="Calibri"/>
        <family val="2"/>
      </rPr>
      <t>i</t>
    </r>
  </si>
  <si>
    <r>
      <t>ENERGIA SCAMBIATA PER VENTILAZIONE Q</t>
    </r>
    <r>
      <rPr>
        <b/>
        <vertAlign val="subscript"/>
        <sz val="11"/>
        <color theme="0"/>
        <rFont val="Calibri"/>
        <family val="2"/>
        <scheme val="minor"/>
      </rPr>
      <t xml:space="preserve">H,ve       </t>
    </r>
    <r>
      <rPr>
        <b/>
        <sz val="11"/>
        <color theme="0"/>
        <rFont val="Calibri"/>
        <family val="2"/>
        <scheme val="minor"/>
      </rPr>
      <t xml:space="preserve">               </t>
    </r>
  </si>
  <si>
    <r>
      <t>θ</t>
    </r>
    <r>
      <rPr>
        <b/>
        <vertAlign val="subscript"/>
        <sz val="10"/>
        <color theme="1"/>
        <rFont val="Calibri"/>
        <family val="2"/>
      </rPr>
      <t xml:space="preserve">e   </t>
    </r>
    <r>
      <rPr>
        <sz val="8"/>
        <color theme="1"/>
        <rFont val="Calibri"/>
        <family val="2"/>
      </rPr>
      <t>[°C]</t>
    </r>
  </si>
  <si>
    <r>
      <t xml:space="preserve">PARETI ESTERNE / </t>
    </r>
    <r>
      <rPr>
        <b/>
        <i/>
        <sz val="12"/>
        <color theme="1"/>
        <rFont val="Calibri"/>
        <family val="2"/>
        <scheme val="minor"/>
      </rPr>
      <t>Piano Terra</t>
    </r>
  </si>
  <si>
    <r>
      <t xml:space="preserve">PARETI ESTERNE / </t>
    </r>
    <r>
      <rPr>
        <b/>
        <i/>
        <sz val="12"/>
        <color theme="1"/>
        <rFont val="Calibri"/>
        <family val="2"/>
        <scheme val="minor"/>
      </rPr>
      <t>Piano Primo</t>
    </r>
  </si>
  <si>
    <r>
      <t>R</t>
    </r>
    <r>
      <rPr>
        <vertAlign val="subscript"/>
        <sz val="10"/>
        <color theme="1"/>
        <rFont val="Calibri"/>
        <family val="2"/>
        <scheme val="minor"/>
      </rPr>
      <t>se</t>
    </r>
  </si>
  <si>
    <r>
      <t>R</t>
    </r>
    <r>
      <rPr>
        <vertAlign val="subscript"/>
        <sz val="10"/>
        <color theme="1"/>
        <rFont val="Calibri"/>
        <family val="2"/>
        <scheme val="minor"/>
      </rPr>
      <t>si</t>
    </r>
  </si>
  <si>
    <t>Rif.normativo</t>
  </si>
  <si>
    <t xml:space="preserve">Materiale                                                            </t>
  </si>
  <si>
    <t>(stratigrafia dall'esterno verso l'interno)</t>
  </si>
  <si>
    <r>
      <t>R</t>
    </r>
    <r>
      <rPr>
        <b/>
        <vertAlign val="subscript"/>
        <sz val="10"/>
        <color theme="1"/>
        <rFont val="Calibri"/>
        <family val="2"/>
        <scheme val="minor"/>
      </rPr>
      <t>TOT</t>
    </r>
  </si>
  <si>
    <r>
      <t>U</t>
    </r>
    <r>
      <rPr>
        <b/>
        <vertAlign val="subscript"/>
        <sz val="10"/>
        <color theme="1"/>
        <rFont val="Calibri"/>
        <family val="2"/>
        <scheme val="minor"/>
      </rPr>
      <t>TOT</t>
    </r>
  </si>
  <si>
    <t>Locali</t>
  </si>
  <si>
    <r>
      <t>FABBISOGNO NETTO DI ENERGIA PER IL RISCALDAMENTO Q</t>
    </r>
    <r>
      <rPr>
        <b/>
        <vertAlign val="subscript"/>
        <sz val="10"/>
        <color theme="1"/>
        <rFont val="Calibri"/>
        <family val="2"/>
        <scheme val="minor"/>
      </rPr>
      <t>H,nd</t>
    </r>
  </si>
  <si>
    <r>
      <t>FABBISOGNO DI ENERGIA PER IL RISCALDAMENTO Q</t>
    </r>
    <r>
      <rPr>
        <b/>
        <vertAlign val="subscript"/>
        <sz val="10"/>
        <color theme="0"/>
        <rFont val="Calibri"/>
        <family val="2"/>
        <scheme val="minor"/>
      </rPr>
      <t xml:space="preserve">H,nd       </t>
    </r>
    <r>
      <rPr>
        <b/>
        <sz val="10"/>
        <color theme="0"/>
        <rFont val="Calibri"/>
        <family val="2"/>
        <scheme val="minor"/>
      </rPr>
      <t xml:space="preserve">               </t>
    </r>
  </si>
  <si>
    <r>
      <t>γ</t>
    </r>
    <r>
      <rPr>
        <b/>
        <vertAlign val="subscript"/>
        <sz val="12"/>
        <color theme="1"/>
        <rFont val="Calibri"/>
        <family val="2"/>
      </rPr>
      <t>H</t>
    </r>
  </si>
  <si>
    <r>
      <t>a</t>
    </r>
    <r>
      <rPr>
        <b/>
        <vertAlign val="subscript"/>
        <sz val="12"/>
        <color theme="1"/>
        <rFont val="Calibri"/>
        <family val="2"/>
        <scheme val="minor"/>
      </rPr>
      <t>H,0</t>
    </r>
  </si>
  <si>
    <r>
      <t>τ</t>
    </r>
    <r>
      <rPr>
        <b/>
        <vertAlign val="subscript"/>
        <sz val="12"/>
        <color theme="1"/>
        <rFont val="Calibri"/>
        <family val="2"/>
      </rPr>
      <t>H,0</t>
    </r>
  </si>
  <si>
    <r>
      <t>Q</t>
    </r>
    <r>
      <rPr>
        <b/>
        <vertAlign val="subscript"/>
        <sz val="12"/>
        <color theme="1"/>
        <rFont val="Calibri"/>
        <family val="2"/>
        <scheme val="minor"/>
      </rPr>
      <t>H,tr</t>
    </r>
  </si>
  <si>
    <r>
      <t>Q</t>
    </r>
    <r>
      <rPr>
        <b/>
        <vertAlign val="subscript"/>
        <sz val="12"/>
        <color theme="1"/>
        <rFont val="Calibri"/>
        <family val="2"/>
        <scheme val="minor"/>
      </rPr>
      <t>H,ve</t>
    </r>
  </si>
  <si>
    <r>
      <t>Q</t>
    </r>
    <r>
      <rPr>
        <b/>
        <vertAlign val="subscript"/>
        <sz val="12"/>
        <color theme="1"/>
        <rFont val="Calibri"/>
        <family val="2"/>
        <scheme val="minor"/>
      </rPr>
      <t>int</t>
    </r>
  </si>
  <si>
    <r>
      <t>Q</t>
    </r>
    <r>
      <rPr>
        <b/>
        <vertAlign val="subscript"/>
        <sz val="12"/>
        <color theme="1"/>
        <rFont val="Calibri"/>
        <family val="2"/>
        <scheme val="minor"/>
      </rPr>
      <t>sol</t>
    </r>
  </si>
  <si>
    <r>
      <t>Q</t>
    </r>
    <r>
      <rPr>
        <b/>
        <vertAlign val="subscript"/>
        <sz val="12"/>
        <color theme="1"/>
        <rFont val="Calibri"/>
        <family val="2"/>
        <scheme val="minor"/>
      </rPr>
      <t>gn</t>
    </r>
  </si>
  <si>
    <r>
      <t>Q</t>
    </r>
    <r>
      <rPr>
        <b/>
        <vertAlign val="subscript"/>
        <sz val="12"/>
        <color theme="1"/>
        <rFont val="Calibri"/>
        <family val="2"/>
        <scheme val="minor"/>
      </rPr>
      <t>H,ht</t>
    </r>
  </si>
  <si>
    <r>
      <t>C</t>
    </r>
    <r>
      <rPr>
        <vertAlign val="subscript"/>
        <sz val="11"/>
        <color theme="1"/>
        <rFont val="Calibri"/>
        <family val="2"/>
        <scheme val="minor"/>
      </rPr>
      <t>m</t>
    </r>
  </si>
  <si>
    <t>[J/K]</t>
  </si>
  <si>
    <r>
      <t>H</t>
    </r>
    <r>
      <rPr>
        <vertAlign val="subscript"/>
        <sz val="11"/>
        <color theme="1"/>
        <rFont val="Calibri"/>
        <family val="2"/>
        <scheme val="minor"/>
      </rPr>
      <t>tr</t>
    </r>
  </si>
  <si>
    <r>
      <t>a</t>
    </r>
    <r>
      <rPr>
        <b/>
        <vertAlign val="subscript"/>
        <sz val="12"/>
        <color theme="1"/>
        <rFont val="Calibri"/>
        <family val="2"/>
        <scheme val="minor"/>
      </rPr>
      <t>H</t>
    </r>
  </si>
  <si>
    <r>
      <t>η</t>
    </r>
    <r>
      <rPr>
        <b/>
        <vertAlign val="subscript"/>
        <sz val="12"/>
        <color theme="1"/>
        <rFont val="Calibri"/>
        <family val="2"/>
      </rPr>
      <t>H,gn</t>
    </r>
  </si>
  <si>
    <r>
      <t>Q</t>
    </r>
    <r>
      <rPr>
        <b/>
        <vertAlign val="subscript"/>
        <sz val="12"/>
        <color theme="1"/>
        <rFont val="Calibri"/>
        <family val="2"/>
        <scheme val="minor"/>
      </rPr>
      <t>H,nd</t>
    </r>
  </si>
  <si>
    <r>
      <t>FABBISOGNO NETTO DI ENERGIA Q</t>
    </r>
    <r>
      <rPr>
        <b/>
        <vertAlign val="subscript"/>
        <sz val="10"/>
        <color theme="0"/>
        <rFont val="Calibri"/>
        <family val="2"/>
        <scheme val="minor"/>
      </rPr>
      <t xml:space="preserve">H,nd       </t>
    </r>
    <r>
      <rPr>
        <b/>
        <sz val="10"/>
        <color theme="0"/>
        <rFont val="Calibri"/>
        <family val="2"/>
        <scheme val="minor"/>
      </rPr>
      <t xml:space="preserve">               </t>
    </r>
  </si>
  <si>
    <r>
      <t xml:space="preserve">FATTORE DI UTILIZZAZIONE DEGLI APPORTI TERMICI </t>
    </r>
    <r>
      <rPr>
        <b/>
        <sz val="10"/>
        <color theme="0"/>
        <rFont val="Calibri"/>
        <family val="2"/>
      </rPr>
      <t>η</t>
    </r>
    <r>
      <rPr>
        <b/>
        <vertAlign val="subscript"/>
        <sz val="10"/>
        <color theme="0"/>
        <rFont val="Calibri"/>
        <family val="2"/>
        <scheme val="minor"/>
      </rPr>
      <t xml:space="preserve">H,gn       </t>
    </r>
    <r>
      <rPr>
        <b/>
        <sz val="10"/>
        <color theme="0"/>
        <rFont val="Calibri"/>
        <family val="2"/>
        <scheme val="minor"/>
      </rPr>
      <t xml:space="preserve">               </t>
    </r>
  </si>
  <si>
    <r>
      <t>θ</t>
    </r>
    <r>
      <rPr>
        <b/>
        <vertAlign val="subscript"/>
        <sz val="12"/>
        <color theme="1"/>
        <rFont val="Calibri"/>
        <family val="2"/>
      </rPr>
      <t>int</t>
    </r>
  </si>
  <si>
    <r>
      <t>θ</t>
    </r>
    <r>
      <rPr>
        <b/>
        <vertAlign val="subscript"/>
        <sz val="12"/>
        <color theme="1"/>
        <rFont val="Calibri"/>
        <family val="2"/>
      </rPr>
      <t>ext</t>
    </r>
  </si>
  <si>
    <r>
      <t>Q</t>
    </r>
    <r>
      <rPr>
        <b/>
        <vertAlign val="subscript"/>
        <sz val="12"/>
        <color theme="1"/>
        <rFont val="Calibri"/>
        <family val="2"/>
        <scheme val="minor"/>
      </rPr>
      <t>tr</t>
    </r>
  </si>
  <si>
    <r>
      <t>Q</t>
    </r>
    <r>
      <rPr>
        <b/>
        <vertAlign val="subscript"/>
        <sz val="10"/>
        <color theme="1"/>
        <rFont val="Calibri"/>
        <family val="2"/>
        <scheme val="minor"/>
      </rPr>
      <t>H,ve</t>
    </r>
    <r>
      <rPr>
        <b/>
        <sz val="10"/>
        <color theme="1"/>
        <rFont val="Calibri"/>
        <family val="2"/>
        <scheme val="minor"/>
      </rPr>
      <t xml:space="preserve"> [kW h]</t>
    </r>
  </si>
  <si>
    <r>
      <t>Q</t>
    </r>
    <r>
      <rPr>
        <b/>
        <vertAlign val="subscript"/>
        <sz val="10"/>
        <color theme="1"/>
        <rFont val="Calibri"/>
        <family val="2"/>
        <scheme val="minor"/>
      </rPr>
      <t>int</t>
    </r>
    <r>
      <rPr>
        <b/>
        <sz val="10"/>
        <color theme="1"/>
        <rFont val="Calibri"/>
        <family val="2"/>
        <scheme val="minor"/>
      </rPr>
      <t xml:space="preserve"> [kW h]</t>
    </r>
  </si>
  <si>
    <r>
      <t>FABBISOGNO NETTO DI ENERGIA Q</t>
    </r>
    <r>
      <rPr>
        <b/>
        <vertAlign val="subscript"/>
        <sz val="12"/>
        <color theme="0"/>
        <rFont val="Calibri"/>
        <family val="2"/>
        <scheme val="minor"/>
      </rPr>
      <t xml:space="preserve">H,nd       </t>
    </r>
    <r>
      <rPr>
        <b/>
        <sz val="12"/>
        <color theme="0"/>
        <rFont val="Calibri"/>
        <family val="2"/>
        <scheme val="minor"/>
      </rPr>
      <t xml:space="preserve">               </t>
    </r>
  </si>
  <si>
    <t>G</t>
  </si>
  <si>
    <t>ρ</t>
  </si>
  <si>
    <t>c</t>
  </si>
  <si>
    <t>Superficie utile</t>
  </si>
  <si>
    <r>
      <t>[kW h/m</t>
    </r>
    <r>
      <rPr>
        <vertAlign val="superscript"/>
        <sz val="8"/>
        <color theme="1"/>
        <rFont val="Calibri"/>
        <family val="2"/>
        <scheme val="minor"/>
      </rPr>
      <t>2</t>
    </r>
    <r>
      <rPr>
        <sz val="8"/>
        <color theme="1"/>
        <rFont val="Calibri"/>
        <family val="2"/>
        <scheme val="minor"/>
      </rPr>
      <t>]</t>
    </r>
  </si>
  <si>
    <t>SUPERFICIE UTILE</t>
  </si>
  <si>
    <t>E</t>
  </si>
  <si>
    <t>F</t>
  </si>
  <si>
    <r>
      <t>EP</t>
    </r>
    <r>
      <rPr>
        <b/>
        <vertAlign val="subscript"/>
        <sz val="10"/>
        <color theme="1"/>
        <rFont val="Calibri"/>
        <family val="2"/>
        <scheme val="minor"/>
      </rPr>
      <t>acs</t>
    </r>
  </si>
  <si>
    <r>
      <t>EP</t>
    </r>
    <r>
      <rPr>
        <b/>
        <vertAlign val="subscript"/>
        <sz val="10"/>
        <color theme="1"/>
        <rFont val="Calibri"/>
        <family val="2"/>
        <scheme val="minor"/>
      </rPr>
      <t>i</t>
    </r>
  </si>
  <si>
    <r>
      <t>EP</t>
    </r>
    <r>
      <rPr>
        <b/>
        <vertAlign val="subscript"/>
        <sz val="10"/>
        <color theme="1"/>
        <rFont val="Calibri"/>
        <family val="2"/>
        <scheme val="minor"/>
      </rPr>
      <t>gl</t>
    </r>
  </si>
  <si>
    <t>PRESTAZIONE IGROTERMICA DEI COMPONENTI E DEGLI ELEMENTI PER L'EDILIZIA</t>
  </si>
  <si>
    <t>VALORI MEDI MENSILI DELLA TEMPERATURA MEDIA GIORNALIERA DELL'ARIA ESTERNA</t>
  </si>
  <si>
    <t>z [m]</t>
  </si>
  <si>
    <t>Gradiente verticale di temperatura</t>
  </si>
  <si>
    <t>δ [°C/m]</t>
  </si>
  <si>
    <r>
      <t>θ</t>
    </r>
    <r>
      <rPr>
        <b/>
        <vertAlign val="subscript"/>
        <sz val="9"/>
        <color theme="1"/>
        <rFont val="Calibri"/>
        <family val="2"/>
      </rPr>
      <t>e,r</t>
    </r>
  </si>
  <si>
    <r>
      <t>θ</t>
    </r>
    <r>
      <rPr>
        <b/>
        <vertAlign val="subscript"/>
        <sz val="9"/>
        <color theme="1"/>
        <rFont val="Calibri"/>
        <family val="2"/>
      </rPr>
      <t>e</t>
    </r>
  </si>
  <si>
    <r>
      <t>z</t>
    </r>
    <r>
      <rPr>
        <vertAlign val="subscript"/>
        <sz val="10"/>
        <color theme="1"/>
        <rFont val="Calibri"/>
        <family val="2"/>
        <scheme val="minor"/>
      </rPr>
      <t xml:space="preserve">r </t>
    </r>
    <r>
      <rPr>
        <sz val="10"/>
        <color theme="1"/>
        <rFont val="Calibri"/>
        <family val="2"/>
        <scheme val="minor"/>
      </rPr>
      <t>[m]</t>
    </r>
  </si>
  <si>
    <t>VALORI MEDI MENSILI DELLA PRESSIONE PARZIALE DEL VAPORE D'ACQUA NELL'ARIA ESTERNA</t>
  </si>
  <si>
    <t>[Pa]</t>
  </si>
  <si>
    <r>
      <t>P</t>
    </r>
    <r>
      <rPr>
        <b/>
        <vertAlign val="subscript"/>
        <sz val="10"/>
        <color theme="1"/>
        <rFont val="Calibri"/>
        <family val="2"/>
        <scheme val="minor"/>
      </rPr>
      <t>e</t>
    </r>
  </si>
  <si>
    <t>Temp.media giorn.aria est.</t>
  </si>
  <si>
    <t>Coefficiente di sicurezza</t>
  </si>
  <si>
    <t>Pressione vapore interna</t>
  </si>
  <si>
    <t>Pressione vap. media ext.</t>
  </si>
  <si>
    <t>Pressione di saturazione</t>
  </si>
  <si>
    <t>[°C ]</t>
  </si>
  <si>
    <r>
      <t>θ</t>
    </r>
    <r>
      <rPr>
        <b/>
        <vertAlign val="subscript"/>
        <sz val="9.9"/>
        <color theme="1"/>
        <rFont val="Calibri"/>
        <family val="2"/>
      </rPr>
      <t>e</t>
    </r>
  </si>
  <si>
    <r>
      <t>P</t>
    </r>
    <r>
      <rPr>
        <b/>
        <vertAlign val="subscript"/>
        <sz val="11"/>
        <color theme="1"/>
        <rFont val="Calibri"/>
        <family val="2"/>
        <scheme val="minor"/>
      </rPr>
      <t>e</t>
    </r>
  </si>
  <si>
    <r>
      <t>Δ</t>
    </r>
    <r>
      <rPr>
        <b/>
        <sz val="9.9"/>
        <color theme="1"/>
        <rFont val="Calibri"/>
        <family val="2"/>
      </rPr>
      <t>P</t>
    </r>
  </si>
  <si>
    <r>
      <t>P</t>
    </r>
    <r>
      <rPr>
        <b/>
        <vertAlign val="subscript"/>
        <sz val="11"/>
        <color theme="1"/>
        <rFont val="Calibri"/>
        <family val="2"/>
        <scheme val="minor"/>
      </rPr>
      <t>i</t>
    </r>
  </si>
  <si>
    <r>
      <t>P</t>
    </r>
    <r>
      <rPr>
        <b/>
        <vertAlign val="subscript"/>
        <sz val="11"/>
        <color theme="1"/>
        <rFont val="Calibri"/>
        <family val="2"/>
        <scheme val="minor"/>
      </rPr>
      <t>sat</t>
    </r>
  </si>
  <si>
    <t>Diff. pressione parziale vapore</t>
  </si>
  <si>
    <r>
      <t>θ</t>
    </r>
    <r>
      <rPr>
        <b/>
        <vertAlign val="subscript"/>
        <sz val="9.9"/>
        <color theme="1"/>
        <rFont val="Calibri"/>
        <family val="2"/>
      </rPr>
      <t>si,min</t>
    </r>
  </si>
  <si>
    <t>Temperatura min. accettabile</t>
  </si>
  <si>
    <t>Temperatura aria interna</t>
  </si>
  <si>
    <r>
      <t>θ</t>
    </r>
    <r>
      <rPr>
        <b/>
        <vertAlign val="subscript"/>
        <sz val="9.9"/>
        <color theme="1"/>
        <rFont val="Calibri"/>
        <family val="2"/>
      </rPr>
      <t>i</t>
    </r>
  </si>
  <si>
    <r>
      <t>f</t>
    </r>
    <r>
      <rPr>
        <b/>
        <vertAlign val="subscript"/>
        <sz val="11"/>
        <color theme="1"/>
        <rFont val="Calibri"/>
        <family val="2"/>
        <scheme val="minor"/>
      </rPr>
      <t>Rsi,min</t>
    </r>
  </si>
  <si>
    <t>Fattore di temp.di progetto</t>
  </si>
  <si>
    <t>CONDENSAZIONE SUPERFICIALE</t>
  </si>
  <si>
    <t>q</t>
  </si>
  <si>
    <r>
      <t>[W/m</t>
    </r>
    <r>
      <rPr>
        <vertAlign val="superscript"/>
        <sz val="11"/>
        <color theme="1"/>
        <rFont val="Calibri"/>
        <family val="2"/>
        <scheme val="minor"/>
      </rPr>
      <t>2</t>
    </r>
    <r>
      <rPr>
        <sz val="11"/>
        <color theme="1"/>
        <rFont val="Calibri"/>
        <family val="2"/>
        <scheme val="minor"/>
      </rPr>
      <t>]</t>
    </r>
  </si>
  <si>
    <r>
      <t>θ</t>
    </r>
    <r>
      <rPr>
        <b/>
        <vertAlign val="subscript"/>
        <sz val="9.9"/>
        <color theme="1"/>
        <rFont val="Calibri"/>
        <family val="2"/>
      </rPr>
      <t>si</t>
    </r>
  </si>
  <si>
    <r>
      <rPr>
        <b/>
        <sz val="10"/>
        <color theme="1"/>
        <rFont val="Calibri"/>
        <family val="2"/>
      </rPr>
      <t>Σ</t>
    </r>
    <r>
      <rPr>
        <b/>
        <sz val="8"/>
        <color theme="1"/>
        <rFont val="Calibri"/>
        <family val="2"/>
      </rPr>
      <t xml:space="preserve"> R</t>
    </r>
    <r>
      <rPr>
        <b/>
        <vertAlign val="subscript"/>
        <sz val="8"/>
        <color theme="1"/>
        <rFont val="Calibri"/>
        <family val="2"/>
      </rPr>
      <t>i</t>
    </r>
  </si>
  <si>
    <r>
      <t>R</t>
    </r>
    <r>
      <rPr>
        <b/>
        <vertAlign val="subscript"/>
        <sz val="11"/>
        <color theme="1"/>
        <rFont val="Calibri"/>
        <family val="2"/>
        <scheme val="minor"/>
      </rPr>
      <t>i</t>
    </r>
  </si>
  <si>
    <t>Strato</t>
  </si>
  <si>
    <r>
      <t>θ</t>
    </r>
    <r>
      <rPr>
        <b/>
        <vertAlign val="subscript"/>
        <sz val="9.9"/>
        <color theme="1"/>
        <rFont val="Calibri"/>
        <family val="2"/>
      </rPr>
      <t>strato</t>
    </r>
  </si>
  <si>
    <r>
      <t>f</t>
    </r>
    <r>
      <rPr>
        <b/>
        <vertAlign val="subscript"/>
        <sz val="11"/>
        <color theme="1"/>
        <rFont val="Calibri"/>
        <family val="2"/>
        <scheme val="minor"/>
      </rPr>
      <t>Rsi</t>
    </r>
  </si>
  <si>
    <t>ESTERNO</t>
  </si>
  <si>
    <t>VERIFICA</t>
  </si>
  <si>
    <t>[Kg/(m s Pa)]</t>
  </si>
  <si>
    <r>
      <rPr>
        <b/>
        <sz val="10"/>
        <color theme="1"/>
        <rFont val="Calibri"/>
        <family val="2"/>
      </rPr>
      <t>δ</t>
    </r>
    <r>
      <rPr>
        <b/>
        <vertAlign val="subscript"/>
        <sz val="8"/>
        <color theme="1"/>
        <rFont val="Calibri"/>
        <family val="2"/>
      </rPr>
      <t>0</t>
    </r>
  </si>
  <si>
    <r>
      <rPr>
        <b/>
        <sz val="10"/>
        <color theme="1"/>
        <rFont val="Calibri"/>
        <family val="2"/>
      </rPr>
      <t>δ</t>
    </r>
    <r>
      <rPr>
        <b/>
        <vertAlign val="subscript"/>
        <sz val="8"/>
        <color theme="1"/>
        <rFont val="Calibri"/>
        <family val="2"/>
      </rPr>
      <t>p</t>
    </r>
  </si>
  <si>
    <t>μ</t>
  </si>
  <si>
    <r>
      <t>s</t>
    </r>
    <r>
      <rPr>
        <vertAlign val="subscript"/>
        <sz val="10"/>
        <color theme="1"/>
        <rFont val="Calibri"/>
        <family val="2"/>
        <scheme val="minor"/>
      </rPr>
      <t>d</t>
    </r>
  </si>
  <si>
    <r>
      <rPr>
        <b/>
        <sz val="10"/>
        <color theme="1"/>
        <rFont val="Calibri"/>
        <family val="2"/>
      </rPr>
      <t>Σ</t>
    </r>
    <r>
      <rPr>
        <b/>
        <sz val="8"/>
        <color theme="1"/>
        <rFont val="Calibri"/>
        <family val="2"/>
      </rPr>
      <t xml:space="preserve"> s</t>
    </r>
    <r>
      <rPr>
        <b/>
        <vertAlign val="subscript"/>
        <sz val="8"/>
        <color theme="1"/>
        <rFont val="Calibri"/>
        <family val="2"/>
      </rPr>
      <t>d</t>
    </r>
  </si>
  <si>
    <r>
      <t>s</t>
    </r>
    <r>
      <rPr>
        <b/>
        <vertAlign val="subscript"/>
        <sz val="10"/>
        <color theme="1"/>
        <rFont val="Calibri"/>
        <family val="2"/>
      </rPr>
      <t>d,TOT</t>
    </r>
  </si>
  <si>
    <t>g</t>
  </si>
  <si>
    <r>
      <t>[Kg/s m</t>
    </r>
    <r>
      <rPr>
        <vertAlign val="superscript"/>
        <sz val="10"/>
        <color theme="1"/>
        <rFont val="Calibri"/>
        <family val="2"/>
        <scheme val="minor"/>
      </rPr>
      <t>2</t>
    </r>
    <r>
      <rPr>
        <sz val="10"/>
        <color theme="1"/>
        <rFont val="Calibri"/>
        <family val="2"/>
        <scheme val="minor"/>
      </rPr>
      <t>]</t>
    </r>
  </si>
  <si>
    <t>INTERNO</t>
  </si>
  <si>
    <r>
      <t>P</t>
    </r>
    <r>
      <rPr>
        <vertAlign val="subscript"/>
        <sz val="10"/>
        <color theme="1"/>
        <rFont val="Calibri"/>
        <family val="2"/>
        <scheme val="minor"/>
      </rPr>
      <t>sat</t>
    </r>
  </si>
  <si>
    <r>
      <t>P</t>
    </r>
    <r>
      <rPr>
        <vertAlign val="subscript"/>
        <sz val="10"/>
        <color theme="1"/>
        <rFont val="Calibri"/>
        <family val="2"/>
        <scheme val="minor"/>
      </rPr>
      <t>v</t>
    </r>
  </si>
  <si>
    <t>Asse x</t>
  </si>
  <si>
    <t>Non si ha condensazione interstiziale</t>
  </si>
  <si>
    <t>CONDENSAZIONE INTERSTIZIALE</t>
  </si>
  <si>
    <t>VALUTAZIONE DEL RISCHIO DI CONDENSAZIONE SUPERFICIALE E CONDENSAZIONE INTERSTIZIALE PER LE PARETI ESTERNE DEL PIANO TERRA</t>
  </si>
  <si>
    <t>VALUTAZIONE DEL RISCHIO DI CONDENSAZIONE SUPERFICIALE E CONDENSAZIONE INTERSTIZIALE PER LE PARETI ESTERNE DEL PIANO PRIMO</t>
  </si>
  <si>
    <t>CALCOLO DELLE CARATTERISTICHE DI INERZIA TERMICA DELLE PARETI VERTICALI MULTISTRATO IN REGIME VARIABILE</t>
  </si>
  <si>
    <t>Strati</t>
  </si>
  <si>
    <t>Tipo di materiale</t>
  </si>
  <si>
    <t>Conduttività ter.</t>
  </si>
  <si>
    <t>Calore specifico</t>
  </si>
  <si>
    <t>Densità</t>
  </si>
  <si>
    <t>[J/Kg K]</t>
  </si>
  <si>
    <t>[W/m K]</t>
  </si>
  <si>
    <r>
      <t>[Kg/m</t>
    </r>
    <r>
      <rPr>
        <vertAlign val="superscript"/>
        <sz val="8"/>
        <rFont val="Arial"/>
        <family val="2"/>
      </rPr>
      <t>3</t>
    </r>
    <r>
      <rPr>
        <sz val="8"/>
        <rFont val="Arial"/>
        <family val="2"/>
      </rPr>
      <t>]</t>
    </r>
  </si>
  <si>
    <t>(descrizione)</t>
  </si>
  <si>
    <t>Mattoni faccia piena a vista</t>
  </si>
  <si>
    <t>Intonaco per interni</t>
  </si>
  <si>
    <t>Spessore totale della muratura</t>
  </si>
  <si>
    <t>CARATTERISTICHE TERMOFISICHE E GEOMETRICHE DEI SINGOLI STRATI DELLA PARETE</t>
  </si>
  <si>
    <t>PARETE VERTICALE MULTISTRATO PIANO TERRA</t>
  </si>
  <si>
    <t>Capacità termica areica lato interno</t>
  </si>
  <si>
    <t>Capacità termica areica lato esterno</t>
  </si>
  <si>
    <t>Trasmittanza termica Periodica</t>
  </si>
  <si>
    <t>Adduttanza termica interna</t>
  </si>
  <si>
    <t>Adduttanza termica esterna</t>
  </si>
  <si>
    <t>RISULTATI</t>
  </si>
  <si>
    <t>Fattore di decremento (smorzamento)</t>
  </si>
  <si>
    <t>Ritardo del fattore di smorzamento (sfasamento)</t>
  </si>
  <si>
    <r>
      <t>[kJ/ m</t>
    </r>
    <r>
      <rPr>
        <vertAlign val="superscript"/>
        <sz val="10"/>
        <rFont val="Calibri"/>
        <family val="2"/>
        <scheme val="minor"/>
      </rPr>
      <t xml:space="preserve">2 </t>
    </r>
    <r>
      <rPr>
        <sz val="10"/>
        <rFont val="Calibri"/>
        <family val="2"/>
        <scheme val="minor"/>
      </rPr>
      <t>K]</t>
    </r>
  </si>
  <si>
    <r>
      <t>[W/(m</t>
    </r>
    <r>
      <rPr>
        <vertAlign val="superscript"/>
        <sz val="10"/>
        <rFont val="Calibri"/>
        <family val="2"/>
        <scheme val="minor"/>
      </rPr>
      <t xml:space="preserve">2 </t>
    </r>
    <r>
      <rPr>
        <sz val="10"/>
        <rFont val="Calibri"/>
        <family val="2"/>
        <scheme val="minor"/>
      </rPr>
      <t>K)]</t>
    </r>
  </si>
  <si>
    <r>
      <t>[W/(m</t>
    </r>
    <r>
      <rPr>
        <vertAlign val="superscript"/>
        <sz val="10"/>
        <rFont val="Calibri"/>
        <family val="2"/>
        <scheme val="minor"/>
      </rPr>
      <t>2</t>
    </r>
    <r>
      <rPr>
        <sz val="10"/>
        <rFont val="Calibri"/>
        <family val="2"/>
        <scheme val="minor"/>
      </rPr>
      <t xml:space="preserve"> K)]</t>
    </r>
  </si>
  <si>
    <t>Massa superficiale totale</t>
  </si>
  <si>
    <r>
      <t>[Kg/m</t>
    </r>
    <r>
      <rPr>
        <vertAlign val="superscript"/>
        <sz val="8"/>
        <color theme="1"/>
        <rFont val="Calibri"/>
        <family val="2"/>
        <scheme val="minor"/>
      </rPr>
      <t>2</t>
    </r>
    <r>
      <rPr>
        <sz val="8"/>
        <color theme="1"/>
        <rFont val="Calibri"/>
        <family val="2"/>
        <scheme val="minor"/>
      </rPr>
      <t>]</t>
    </r>
  </si>
  <si>
    <t>VERIFICA SODDISFATTA</t>
  </si>
  <si>
    <r>
      <t>Verifica secondo disposizioni di Legge: il Dpr 59/2009 impone che il valore della Massa superficiale totale sia superiore a 230 Kg/m</t>
    </r>
    <r>
      <rPr>
        <b/>
        <vertAlign val="superscript"/>
        <sz val="10"/>
        <color theme="0"/>
        <rFont val="Calibri"/>
        <family val="2"/>
        <scheme val="minor"/>
      </rPr>
      <t>2</t>
    </r>
  </si>
  <si>
    <r>
      <t>Verifica secondo disposizioni di Legge: il Dpr 59/2009 impone che il valore del modulo della Trasmittanza termica periodica sia inferiore a 0,12 W/m</t>
    </r>
    <r>
      <rPr>
        <b/>
        <vertAlign val="superscript"/>
        <sz val="10"/>
        <color theme="0"/>
        <rFont val="Calibri"/>
        <family val="2"/>
        <scheme val="minor"/>
      </rPr>
      <t>2</t>
    </r>
    <r>
      <rPr>
        <b/>
        <sz val="10"/>
        <color theme="0"/>
        <rFont val="Calibri"/>
        <family val="2"/>
        <scheme val="minor"/>
      </rPr>
      <t>K</t>
    </r>
  </si>
  <si>
    <t>VERIFICA NON SODDISFATTA</t>
  </si>
  <si>
    <t>PARETE VERTICALE MULTISTRATO PIANO PRIMO</t>
  </si>
  <si>
    <t>CONSUMI EFFETTIVI DI COMBUSTIBILE: METODI UNIFICATI DI RILIEVO E DETERMINAZIONE</t>
  </si>
  <si>
    <t>Cal. specifico</t>
  </si>
  <si>
    <t>CONSUMO EFFETTIVO DI COMBUSTIBILE PER IL RISCALDAMENTO</t>
  </si>
  <si>
    <t>Tipo di combustibile:</t>
  </si>
  <si>
    <t>Gasolio</t>
  </si>
  <si>
    <t>[kg/l]</t>
  </si>
  <si>
    <t>Potere calorifico inferiore PCI</t>
  </si>
  <si>
    <t>[MJ/kg]</t>
  </si>
  <si>
    <t>PERIODO</t>
  </si>
  <si>
    <t>QUANTITA'</t>
  </si>
  <si>
    <t>CONSUMO</t>
  </si>
  <si>
    <t>[l]</t>
  </si>
  <si>
    <t>Anno: 2011</t>
  </si>
  <si>
    <t>NOV.</t>
  </si>
  <si>
    <t>GEN.</t>
  </si>
  <si>
    <t>FEB.</t>
  </si>
  <si>
    <t>APR.</t>
  </si>
  <si>
    <t>Consumo totale annuo</t>
  </si>
  <si>
    <r>
      <t>[kW h/m</t>
    </r>
    <r>
      <rPr>
        <b/>
        <vertAlign val="superscript"/>
        <sz val="8"/>
        <color theme="1"/>
        <rFont val="Calibri"/>
        <family val="2"/>
        <scheme val="minor"/>
      </rPr>
      <t>2</t>
    </r>
    <r>
      <rPr>
        <b/>
        <sz val="8"/>
        <color theme="1"/>
        <rFont val="Calibri"/>
        <family val="2"/>
        <scheme val="minor"/>
      </rPr>
      <t>]</t>
    </r>
  </si>
  <si>
    <t>CONSUMO EFFETTIVO DI ENERGIA ELETTRICA PER LA PRODUZIONE DI ACQUA CALDA SANITARIA ED ALTRI USI</t>
  </si>
  <si>
    <t>GENNAIO - FEBBRAIO</t>
  </si>
  <si>
    <t>MARZO - APRILE</t>
  </si>
  <si>
    <t>MAGGIO - GIUGNO</t>
  </si>
  <si>
    <t>LUGLIO - AGOSTO</t>
  </si>
  <si>
    <t>SETTEMBRE - OTTOBRE</t>
  </si>
  <si>
    <t>NOVEMBRE - DICEMBRE</t>
  </si>
  <si>
    <t xml:space="preserve">APPORTI TERMICI GRATUITI:                                                </t>
  </si>
  <si>
    <t>APPORTI INTERNI E APPORTI SOLARI</t>
  </si>
  <si>
    <t xml:space="preserve"> </t>
  </si>
  <si>
    <t>AREA PARETI ESTERNE</t>
  </si>
  <si>
    <r>
      <t>I</t>
    </r>
    <r>
      <rPr>
        <b/>
        <vertAlign val="subscript"/>
        <sz val="10"/>
        <color theme="1"/>
        <rFont val="Calibri"/>
        <family val="2"/>
        <scheme val="minor"/>
      </rPr>
      <t>c</t>
    </r>
  </si>
  <si>
    <t>EFFICIENTAMENTO ENERGETICO</t>
  </si>
  <si>
    <r>
      <t>CO</t>
    </r>
    <r>
      <rPr>
        <b/>
        <vertAlign val="subscript"/>
        <sz val="10"/>
        <color theme="1"/>
        <rFont val="Calibri"/>
        <family val="2"/>
        <scheme val="minor"/>
      </rPr>
      <t>2</t>
    </r>
  </si>
  <si>
    <r>
      <t>[kg CO</t>
    </r>
    <r>
      <rPr>
        <vertAlign val="subscript"/>
        <sz val="8"/>
        <color theme="1"/>
        <rFont val="Calibri"/>
        <family val="2"/>
        <scheme val="minor"/>
      </rPr>
      <t>2</t>
    </r>
    <r>
      <rPr>
        <sz val="8"/>
        <color theme="1"/>
        <rFont val="Calibri"/>
        <family val="2"/>
        <scheme val="minor"/>
      </rPr>
      <t>/m</t>
    </r>
    <r>
      <rPr>
        <vertAlign val="superscript"/>
        <sz val="8"/>
        <color theme="1"/>
        <rFont val="Calibri"/>
        <family val="2"/>
        <scheme val="minor"/>
      </rPr>
      <t>2</t>
    </r>
    <r>
      <rPr>
        <sz val="8"/>
        <color theme="1"/>
        <rFont val="Calibri"/>
        <family val="2"/>
        <scheme val="minor"/>
      </rPr>
      <t xml:space="preserve"> anno]</t>
    </r>
  </si>
  <si>
    <t>SITUAZIONE ATTUALE</t>
  </si>
  <si>
    <t>PROPOSTA 1</t>
  </si>
  <si>
    <t>PROPOSTA 2</t>
  </si>
  <si>
    <t>PROPOSTA 3</t>
  </si>
  <si>
    <t>CLASSE ENERGETICA EDIFICIO</t>
  </si>
  <si>
    <t>Tabella confronto dati</t>
  </si>
  <si>
    <r>
      <t>Percentuale riduzione emissioni CO</t>
    </r>
    <r>
      <rPr>
        <b/>
        <vertAlign val="subscript"/>
        <sz val="10"/>
        <color theme="1"/>
        <rFont val="Calibri"/>
        <family val="2"/>
        <scheme val="minor"/>
      </rPr>
      <t>2</t>
    </r>
  </si>
  <si>
    <t>Valore globale apporti interni</t>
  </si>
  <si>
    <t>Calcolo semplificato del fabbisogno di un edificio</t>
  </si>
  <si>
    <t>UNIVERSITA' DEGLI STUDI DI CAGLIARI</t>
  </si>
  <si>
    <t>Dipartimento di Ingegneria Civile, Ambientale ed Architettura</t>
  </si>
  <si>
    <t>Prof. A. FRATTOLILLO</t>
  </si>
  <si>
    <t>Ing. L. DI PILLA</t>
  </si>
  <si>
    <t>Località di riferimento: Cagliari</t>
  </si>
  <si>
    <t>Corso Impianti Tecnici a.a. 2015/2016</t>
  </si>
  <si>
    <t>Prof. R. RICCIU</t>
  </si>
  <si>
    <t>Ing. DI PILLA L.</t>
  </si>
  <si>
    <t>UNI 10349</t>
  </si>
  <si>
    <t>DATI ARCHITETTONICI / CLIMATICI - UNI 10349</t>
  </si>
  <si>
    <t xml:space="preserve">In Italia è la specifica tecnica UNI/TS 11300-1 che definisce le modalità per l’applicazione nazionale della UNI EN ISO 13790 </t>
  </si>
  <si>
    <t>Dipartimento di Ingegneria Civile, Ambientale e Architettura</t>
  </si>
  <si>
    <t>11300-1</t>
  </si>
  <si>
    <t>UNI 11300-1</t>
  </si>
  <si>
    <t>UNI 13790</t>
  </si>
  <si>
    <r>
      <t>Ψ</t>
    </r>
    <r>
      <rPr>
        <b/>
        <vertAlign val="subscript"/>
        <sz val="11"/>
        <color theme="0"/>
        <rFont val="Calibri"/>
        <family val="2"/>
      </rPr>
      <t>i</t>
    </r>
  </si>
  <si>
    <r>
      <t>l</t>
    </r>
    <r>
      <rPr>
        <b/>
        <vertAlign val="subscript"/>
        <sz val="11"/>
        <color theme="0"/>
        <rFont val="Calibri"/>
        <family val="2"/>
      </rPr>
      <t>i</t>
    </r>
  </si>
  <si>
    <r>
      <t>Ψ</t>
    </r>
    <r>
      <rPr>
        <b/>
        <vertAlign val="subscript"/>
        <sz val="11"/>
        <color theme="0"/>
        <rFont val="Calibri"/>
        <family val="2"/>
      </rPr>
      <t>i</t>
    </r>
    <r>
      <rPr>
        <b/>
        <sz val="11"/>
        <color theme="0"/>
        <rFont val="Calibri"/>
        <family val="2"/>
      </rPr>
      <t>·l</t>
    </r>
    <r>
      <rPr>
        <b/>
        <vertAlign val="subscript"/>
        <sz val="11"/>
        <color theme="0"/>
        <rFont val="Calibri"/>
        <family val="2"/>
      </rPr>
      <t>i</t>
    </r>
  </si>
  <si>
    <t>[W/m∙K]</t>
  </si>
  <si>
    <t>BAGNO 1</t>
  </si>
  <si>
    <t>BAGNO 2</t>
  </si>
  <si>
    <t>DISIMPEGNO</t>
  </si>
  <si>
    <t>PE1</t>
  </si>
  <si>
    <t>PN1</t>
  </si>
  <si>
    <t>PN2</t>
  </si>
  <si>
    <t>PN3</t>
  </si>
  <si>
    <t>PO1</t>
  </si>
  <si>
    <t>PE2</t>
  </si>
  <si>
    <t>PN4</t>
  </si>
  <si>
    <t>PO2</t>
  </si>
  <si>
    <t>PO3</t>
  </si>
  <si>
    <t>PS1</t>
  </si>
  <si>
    <t>PE3</t>
  </si>
  <si>
    <t>PE4</t>
  </si>
  <si>
    <t>PO4</t>
  </si>
  <si>
    <t>PS2</t>
  </si>
  <si>
    <t>SUPERFICIE TOT. PARETI P2</t>
  </si>
  <si>
    <t>Prospetto 5 - UNI 10349</t>
  </si>
  <si>
    <t>media</t>
  </si>
  <si>
    <t xml:space="preserve">G.G. </t>
  </si>
  <si>
    <t>ZONA CLIMATICA</t>
  </si>
  <si>
    <r>
      <t>U</t>
    </r>
    <r>
      <rPr>
        <b/>
        <sz val="8"/>
        <rFont val="Calibri"/>
        <family val="2"/>
        <scheme val="minor"/>
      </rPr>
      <t>t</t>
    </r>
  </si>
  <si>
    <r>
      <t>A</t>
    </r>
    <r>
      <rPr>
        <b/>
        <sz val="8"/>
        <rFont val="Calibri"/>
        <family val="2"/>
        <scheme val="minor"/>
      </rPr>
      <t>t</t>
    </r>
  </si>
  <si>
    <t>codici</t>
  </si>
  <si>
    <t>Parete Est 01</t>
  </si>
  <si>
    <t>www.comuni-italiani.it</t>
  </si>
  <si>
    <t>Trasmittanza termica dinamica &lt;0,10</t>
  </si>
  <si>
    <t>PORTA DI INGRESSO</t>
  </si>
  <si>
    <t>Trasmittanza termica dinamica &lt;0,18</t>
  </si>
  <si>
    <r>
      <t>Ψ</t>
    </r>
    <r>
      <rPr>
        <b/>
        <vertAlign val="subscript"/>
        <sz val="11"/>
        <color theme="1"/>
        <rFont val="Calibri"/>
        <family val="2"/>
        <scheme val="minor"/>
      </rPr>
      <t>e</t>
    </r>
    <r>
      <rPr>
        <b/>
        <sz val="11"/>
        <color theme="1"/>
        <rFont val="Calibri"/>
        <family val="2"/>
      </rPr>
      <t>∙ l</t>
    </r>
    <r>
      <rPr>
        <b/>
        <vertAlign val="subscript"/>
        <sz val="11"/>
        <color theme="1"/>
        <rFont val="Calibri"/>
        <family val="2"/>
      </rPr>
      <t>e</t>
    </r>
    <r>
      <rPr>
        <b/>
        <sz val="11"/>
        <color theme="1"/>
        <rFont val="Calibri"/>
        <family val="2"/>
        <scheme val="minor"/>
      </rPr>
      <t xml:space="preserve"> (10%)</t>
    </r>
  </si>
  <si>
    <t>Porta Ingresso</t>
  </si>
  <si>
    <t>F T 01</t>
  </si>
  <si>
    <t>F T 02</t>
  </si>
  <si>
    <t>SL1</t>
  </si>
  <si>
    <t>SL2</t>
  </si>
  <si>
    <t>SUPERFICIE TOT. PARETI P1+SOL</t>
  </si>
  <si>
    <t>SUPERFICIE TOT. PARETI P3+SOL</t>
  </si>
  <si>
    <t>SUPERF. UTILE</t>
  </si>
  <si>
    <r>
      <t>RAPPORTO DI FORMA   S</t>
    </r>
    <r>
      <rPr>
        <b/>
        <sz val="8"/>
        <color theme="1"/>
        <rFont val="Calibri"/>
        <family val="2"/>
        <scheme val="minor"/>
      </rPr>
      <t>dis</t>
    </r>
    <r>
      <rPr>
        <b/>
        <sz val="10"/>
        <color theme="1"/>
        <rFont val="Calibri"/>
        <family val="2"/>
        <scheme val="minor"/>
      </rPr>
      <t>/V</t>
    </r>
  </si>
  <si>
    <r>
      <t>SUPERFICIE DISPERDENTE (S</t>
    </r>
    <r>
      <rPr>
        <b/>
        <sz val="8"/>
        <color theme="1"/>
        <rFont val="Calibri"/>
        <family val="2"/>
        <scheme val="minor"/>
      </rPr>
      <t>dis)</t>
    </r>
  </si>
  <si>
    <t>VOLUME RISCALDATO (V)</t>
  </si>
  <si>
    <t xml:space="preserve">SUPERFICIE PIANTA </t>
  </si>
  <si>
    <t>VOLUME RISCALDATO 1 appartamento</t>
  </si>
  <si>
    <r>
      <t>m</t>
    </r>
    <r>
      <rPr>
        <vertAlign val="superscript"/>
        <sz val="8"/>
        <color theme="1"/>
        <rFont val="Calibri"/>
        <family val="2"/>
        <scheme val="minor"/>
      </rPr>
      <t>3</t>
    </r>
  </si>
  <si>
    <t>F T 03</t>
  </si>
  <si>
    <t>STRATIGRAFIA 03</t>
  </si>
  <si>
    <t>STRATIGRAFIA 04</t>
  </si>
  <si>
    <t>STRATIGRAFIA 07</t>
  </si>
  <si>
    <t>STL2</t>
  </si>
  <si>
    <t>STL1</t>
  </si>
  <si>
    <t>Stratig. 07</t>
  </si>
  <si>
    <t>stratigr. 07</t>
  </si>
  <si>
    <t>stratigr. 04</t>
  </si>
  <si>
    <r>
      <t>H</t>
    </r>
    <r>
      <rPr>
        <b/>
        <sz val="8"/>
        <color theme="1"/>
        <rFont val="Calibri"/>
        <family val="2"/>
        <scheme val="minor"/>
      </rPr>
      <t>ue</t>
    </r>
  </si>
  <si>
    <r>
      <t>H</t>
    </r>
    <r>
      <rPr>
        <b/>
        <vertAlign val="subscript"/>
        <sz val="12"/>
        <color theme="1"/>
        <rFont val="Calibri"/>
        <family val="2"/>
        <scheme val="minor"/>
      </rPr>
      <t>iu</t>
    </r>
  </si>
  <si>
    <r>
      <rPr>
        <b/>
        <sz val="12"/>
        <color theme="1"/>
        <rFont val="Calibri"/>
        <family val="2"/>
        <scheme val="minor"/>
      </rPr>
      <t>H</t>
    </r>
    <r>
      <rPr>
        <b/>
        <vertAlign val="subscript"/>
        <sz val="12"/>
        <color theme="1"/>
        <rFont val="Calibri"/>
        <family val="2"/>
        <scheme val="minor"/>
      </rPr>
      <t>u</t>
    </r>
  </si>
  <si>
    <r>
      <t>b</t>
    </r>
    <r>
      <rPr>
        <b/>
        <sz val="8"/>
        <color theme="1"/>
        <rFont val="Calibri"/>
        <family val="2"/>
        <scheme val="minor"/>
      </rPr>
      <t>u</t>
    </r>
    <r>
      <rPr>
        <b/>
        <sz val="8"/>
        <color theme="1"/>
        <rFont val="Calibri"/>
        <family val="2"/>
      </rPr>
      <t>∙</t>
    </r>
    <r>
      <rPr>
        <b/>
        <sz val="12"/>
        <color theme="1"/>
        <rFont val="Calibri"/>
        <family val="2"/>
        <scheme val="minor"/>
      </rPr>
      <t>H</t>
    </r>
    <r>
      <rPr>
        <b/>
        <vertAlign val="subscript"/>
        <sz val="12"/>
        <color theme="1"/>
        <rFont val="Calibri"/>
        <family val="2"/>
        <scheme val="minor"/>
      </rPr>
      <t>u</t>
    </r>
  </si>
  <si>
    <t>LAB. INTEGR. DI PROG. TECN.  (TERMOFISICA DELL'EDIFICIO) a.a. 2017/2018</t>
  </si>
  <si>
    <r>
      <t>[kWh/m</t>
    </r>
    <r>
      <rPr>
        <vertAlign val="superscript"/>
        <sz val="8"/>
        <color theme="1"/>
        <rFont val="Calibri"/>
        <family val="2"/>
        <scheme val="minor"/>
      </rPr>
      <t>2</t>
    </r>
    <r>
      <rPr>
        <sz val="8"/>
        <color theme="1"/>
        <rFont val="Calibri"/>
        <family val="2"/>
        <scheme val="minor"/>
      </rPr>
      <t>]</t>
    </r>
  </si>
  <si>
    <r>
      <t>[kWh</t>
    </r>
    <r>
      <rPr>
        <sz val="8"/>
        <color theme="1"/>
        <rFont val="Calibri"/>
        <family val="2"/>
        <scheme val="minor"/>
      </rPr>
      <t>]</t>
    </r>
  </si>
  <si>
    <t>TOTALI</t>
  </si>
  <si>
    <r>
      <t>Apporti termici gratuiti solari Q</t>
    </r>
    <r>
      <rPr>
        <b/>
        <vertAlign val="subscript"/>
        <sz val="12"/>
        <color theme="0"/>
        <rFont val="Calibri"/>
        <family val="2"/>
      </rPr>
      <t>sol</t>
    </r>
  </si>
  <si>
    <t>[kWh]</t>
  </si>
  <si>
    <t>copertura</t>
  </si>
  <si>
    <r>
      <t>Apporti termici gratuiti solari Q</t>
    </r>
    <r>
      <rPr>
        <b/>
        <vertAlign val="subscript"/>
        <sz val="12"/>
        <color theme="0"/>
        <rFont val="Calibri"/>
        <family val="2"/>
      </rPr>
      <t>sol, int</t>
    </r>
  </si>
  <si>
    <r>
      <rPr>
        <b/>
        <vertAlign val="subscript"/>
        <sz val="22"/>
        <color theme="0"/>
        <rFont val="Calibri"/>
        <family val="2"/>
      </rPr>
      <t>Q</t>
    </r>
    <r>
      <rPr>
        <b/>
        <vertAlign val="subscript"/>
        <sz val="20"/>
        <color theme="0"/>
        <rFont val="Calibri"/>
        <family val="2"/>
      </rPr>
      <t xml:space="preserve">sol, int </t>
    </r>
    <r>
      <rPr>
        <b/>
        <vertAlign val="subscript"/>
        <sz val="10"/>
        <color theme="0"/>
        <rFont val="Calibri"/>
        <family val="2"/>
      </rPr>
      <t xml:space="preserve">  </t>
    </r>
    <r>
      <rPr>
        <b/>
        <sz val="10"/>
        <color theme="0"/>
        <rFont val="Calibri"/>
        <family val="2"/>
      </rPr>
      <t>[kWh]</t>
    </r>
  </si>
  <si>
    <t>Qsol, int</t>
  </si>
  <si>
    <t>Apporti termici gratuiti solari</t>
  </si>
  <si>
    <t xml:space="preserve">Apporti termici gratuiti solari </t>
  </si>
  <si>
    <t xml:space="preserve">Apporti termici gratuiti interni </t>
  </si>
  <si>
    <r>
      <t>NON CALCOLIAMO IL QH,tr</t>
    </r>
    <r>
      <rPr>
        <b/>
        <vertAlign val="subscript"/>
        <sz val="10"/>
        <color theme="1"/>
        <rFont val="Calibri"/>
        <family val="2"/>
        <scheme val="minor"/>
      </rPr>
      <t xml:space="preserve"> </t>
    </r>
    <r>
      <rPr>
        <b/>
        <sz val="10"/>
        <color theme="1"/>
        <rFont val="Calibri"/>
        <family val="2"/>
        <scheme val="minor"/>
      </rPr>
      <t>perché ci fermiamo al Q</t>
    </r>
    <r>
      <rPr>
        <b/>
        <vertAlign val="subscript"/>
        <sz val="10"/>
        <color theme="1"/>
        <rFont val="Calibri"/>
        <family val="2"/>
        <scheme val="minor"/>
      </rPr>
      <t>tr</t>
    </r>
  </si>
  <si>
    <t>coeff. Ventilazione</t>
  </si>
  <si>
    <t>VERIFICHE</t>
  </si>
  <si>
    <t>ok</t>
  </si>
  <si>
    <t>piramide</t>
  </si>
  <si>
    <r>
      <t>ENERGIA SCAMBIATA PER TRASMISSIONE Q</t>
    </r>
    <r>
      <rPr>
        <b/>
        <vertAlign val="subscript"/>
        <sz val="9"/>
        <color theme="0"/>
        <rFont val="Calibri"/>
        <family val="2"/>
        <scheme val="minor"/>
      </rPr>
      <t xml:space="preserve">H,tr       </t>
    </r>
    <r>
      <rPr>
        <b/>
        <sz val="9"/>
        <color theme="0"/>
        <rFont val="Calibri"/>
        <family val="2"/>
        <scheme val="minor"/>
      </rPr>
      <t xml:space="preserve">               </t>
    </r>
  </si>
  <si>
    <t>Uw</t>
  </si>
  <si>
    <t>Aw</t>
  </si>
  <si>
    <r>
      <t>[m</t>
    </r>
    <r>
      <rPr>
        <sz val="8"/>
        <color theme="1"/>
        <rFont val="Calibri"/>
        <family val="2"/>
      </rPr>
      <t>²</t>
    </r>
    <r>
      <rPr>
        <sz val="8"/>
        <color theme="1"/>
        <rFont val="Calibri"/>
        <family val="2"/>
        <scheme val="minor"/>
      </rPr>
      <t>]</t>
    </r>
  </si>
  <si>
    <t>AREA FIN.</t>
  </si>
  <si>
    <t>PVSO</t>
  </si>
  <si>
    <t>stratigr. 03</t>
  </si>
  <si>
    <t>Fabbisogno totale</t>
  </si>
  <si>
    <t>legno mm 50</t>
  </si>
  <si>
    <t>[mm]</t>
  </si>
  <si>
    <t>kWh</t>
  </si>
  <si>
    <t>GASOLIO</t>
  </si>
  <si>
    <t>kWh/l</t>
  </si>
  <si>
    <t>COSTO 1 litro di gasolio</t>
  </si>
  <si>
    <t>litri di gasolio necessari</t>
  </si>
  <si>
    <t>COSTO per 3 appartamenti</t>
  </si>
  <si>
    <t>dal potere calorifico inferiore</t>
  </si>
  <si>
    <t>COSTO</t>
  </si>
  <si>
    <t xml:space="preserve">PER </t>
  </si>
  <si>
    <t>LOCALE</t>
  </si>
  <si>
    <t>APPARTAM.</t>
  </si>
  <si>
    <t>LITRI</t>
  </si>
  <si>
    <r>
      <t>RISCALDAMENTO da Q</t>
    </r>
    <r>
      <rPr>
        <b/>
        <vertAlign val="subscript"/>
        <sz val="10"/>
        <color theme="1"/>
        <rFont val="Calibri"/>
        <family val="2"/>
        <scheme val="minor"/>
      </rPr>
      <t>H,nd</t>
    </r>
  </si>
  <si>
    <t>Potenza</t>
  </si>
  <si>
    <t>Numero</t>
  </si>
  <si>
    <t>pesi in %</t>
  </si>
  <si>
    <t xml:space="preserve">pesi </t>
  </si>
  <si>
    <t>[W h]</t>
  </si>
  <si>
    <t>elementi radianti</t>
  </si>
  <si>
    <t>La tabella è stata elaborata tenendo conto del coefficiente FT per la definizione della Potenza nominale</t>
  </si>
  <si>
    <t>tenendo presenti le seguenti condizioni di installazione ed altezza:</t>
  </si>
  <si>
    <t>- temperature coincidenti con le condizioni standard (DT=60°C) per acqua ed aria</t>
  </si>
  <si>
    <t>- altitudine località edificio 50 m sul livello del mare</t>
  </si>
  <si>
    <t>- installazione con mensola</t>
  </si>
  <si>
    <t>- radiatore verniciato ad olio</t>
  </si>
  <si>
    <t>- attacchi standard</t>
  </si>
  <si>
    <t>Fattori correttivi:</t>
  </si>
  <si>
    <t>-altitudine località edificio sul livello del mare</t>
  </si>
  <si>
    <t>Falt =</t>
  </si>
  <si>
    <t>- installazione con mensola Finst</t>
  </si>
  <si>
    <t>Fist =</t>
  </si>
  <si>
    <t>- radiatore verniciato ad olio Fvernice</t>
  </si>
  <si>
    <t>Fvern =</t>
  </si>
  <si>
    <t>- attacchi standard Fattacchi</t>
  </si>
  <si>
    <t>Fatt =</t>
  </si>
  <si>
    <t>Fcorrettivo =</t>
  </si>
  <si>
    <t>Potenza nominale =</t>
  </si>
  <si>
    <t>SCELTA DELLA CALDAIA</t>
  </si>
  <si>
    <t>Potenza dispersa</t>
  </si>
  <si>
    <t>Potenza effettiva radiatore =</t>
  </si>
  <si>
    <t xml:space="preserve">potenza </t>
  </si>
  <si>
    <t>radiatori</t>
  </si>
  <si>
    <t>trasmissione</t>
  </si>
  <si>
    <t>caldaia</t>
  </si>
  <si>
    <t>coeff.</t>
  </si>
  <si>
    <t xml:space="preserve">potenza nominale </t>
  </si>
  <si>
    <r>
      <t xml:space="preserve">di caldaia </t>
    </r>
    <r>
      <rPr>
        <b/>
        <sz val="11"/>
        <color theme="1"/>
        <rFont val="Calibri"/>
        <family val="2"/>
        <scheme val="minor"/>
      </rPr>
      <t>Pn</t>
    </r>
  </si>
  <si>
    <t>PORTATA TOTALE DELL'IMPIANTO Gt e PERDITE DI CARICO</t>
  </si>
  <si>
    <t>Si converte la potenza da W a kcal/h</t>
  </si>
  <si>
    <t>Pn =</t>
  </si>
  <si>
    <t>kcal/h</t>
  </si>
  <si>
    <t xml:space="preserve">portata (massa/tempo) </t>
  </si>
  <si>
    <t>=</t>
  </si>
  <si>
    <t>Cs Calore specifico</t>
  </si>
  <si>
    <r>
      <rPr>
        <sz val="11"/>
        <color theme="1"/>
        <rFont val="Symbol"/>
        <family val="1"/>
        <charset val="2"/>
      </rPr>
      <t>D</t>
    </r>
    <r>
      <rPr>
        <sz val="11"/>
        <color theme="1"/>
        <rFont val="Calibri"/>
        <family val="2"/>
        <scheme val="minor"/>
      </rPr>
      <t>T = temp mandata e ritorno</t>
    </r>
  </si>
  <si>
    <t xml:space="preserve">Portata impianto </t>
  </si>
  <si>
    <t>Gt =</t>
  </si>
  <si>
    <t>kg/h</t>
  </si>
  <si>
    <t>l/h</t>
  </si>
  <si>
    <t>Øe 10 Øi 8</t>
  </si>
  <si>
    <t>perd. di carico cont</t>
  </si>
  <si>
    <t>Num. el. Rad.</t>
  </si>
  <si>
    <t>Portata radiatori</t>
  </si>
  <si>
    <t>perd. di carico cont/m</t>
  </si>
  <si>
    <t>velocità</t>
  </si>
  <si>
    <t>lunghezza</t>
  </si>
  <si>
    <t>rami nel piano</t>
  </si>
  <si>
    <t>[kcal/h]</t>
  </si>
  <si>
    <t>[l/h]</t>
  </si>
  <si>
    <t xml:space="preserve">     mm c.a./m</t>
  </si>
  <si>
    <r>
      <rPr>
        <sz val="9"/>
        <color theme="1"/>
        <rFont val="Calibri"/>
        <family val="2"/>
      </rPr>
      <t>[</t>
    </r>
    <r>
      <rPr>
        <sz val="9"/>
        <color theme="1"/>
        <rFont val="Calibri"/>
        <family val="2"/>
        <scheme val="minor"/>
      </rPr>
      <t>m/s</t>
    </r>
    <r>
      <rPr>
        <sz val="9"/>
        <color theme="1"/>
        <rFont val="Calibri"/>
        <family val="2"/>
      </rPr>
      <t>]</t>
    </r>
  </si>
  <si>
    <r>
      <rPr>
        <sz val="9"/>
        <color theme="1"/>
        <rFont val="Calibri"/>
        <family val="2"/>
      </rPr>
      <t>[</t>
    </r>
    <r>
      <rPr>
        <sz val="9"/>
        <color theme="1"/>
        <rFont val="Calibri"/>
        <family val="2"/>
        <scheme val="minor"/>
      </rPr>
      <t>m</t>
    </r>
    <r>
      <rPr>
        <sz val="9"/>
        <color theme="1"/>
        <rFont val="Calibri"/>
        <family val="2"/>
      </rPr>
      <t>]</t>
    </r>
  </si>
  <si>
    <t xml:space="preserve">     mm c.a.</t>
  </si>
  <si>
    <t>Portata</t>
  </si>
  <si>
    <t>Øe 22 Øi 20</t>
  </si>
  <si>
    <t>Øe 18 Øi 16</t>
  </si>
  <si>
    <t>mm c.a.</t>
  </si>
  <si>
    <t>SCELTA DELLA POMPA (CIRCOLATORE) per un impianto di rscaldamento standard</t>
  </si>
  <si>
    <t>La somma delle perdite di pressione ripartite (continue) e delle perdite di pressione localizzate nel circuito idraulico</t>
  </si>
  <si>
    <t>più sfavorito consente di determinare la prevalenza della pompa di circolazione dell’impianto:</t>
  </si>
  <si>
    <t>m c.a.</t>
  </si>
  <si>
    <t>La pompa di circolazione avrà quindi queste caratteristiche:</t>
  </si>
  <si>
    <t>CALO DI</t>
  </si>
  <si>
    <t>POTENZA TERMICA RICHIESTA DALL'IMPIANTO (W)</t>
  </si>
  <si>
    <t>PRESSIONE</t>
  </si>
  <si>
    <t>8139,5-16279</t>
  </si>
  <si>
    <t>17442-25581</t>
  </si>
  <si>
    <t>26744-34884</t>
  </si>
  <si>
    <t>· Portata =</t>
  </si>
  <si>
    <t>NELL'IMPIANTO</t>
  </si>
  <si>
    <t>(m colonna acqua)</t>
  </si>
  <si>
    <t>filettato</t>
  </si>
  <si>
    <t>· Prevalenza =</t>
  </si>
  <si>
    <t>EVOTRON 40/EVOSTA 40-70</t>
  </si>
  <si>
    <t>· Potenza termica =</t>
  </si>
  <si>
    <t>W</t>
  </si>
  <si>
    <t>EVOTRON 60/EVOSTA 40-70</t>
  </si>
  <si>
    <t>EVOTRON 80</t>
  </si>
  <si>
    <t>EVOPLUS 80</t>
  </si>
  <si>
    <t>EVOPLUS 110</t>
  </si>
  <si>
    <t>X</t>
  </si>
  <si>
    <t>Y</t>
  </si>
  <si>
    <t>DA CERCARE IN TAB.</t>
  </si>
  <si>
    <t>perd. di carico localiz.</t>
  </si>
  <si>
    <t>DA MISURARE</t>
  </si>
  <si>
    <t>Perdite di carico continue e localizzate lungo i rami e lungo il ramo più sfavorito</t>
  </si>
  <si>
    <t>perd. di carico cont.</t>
  </si>
  <si>
    <t>per ramo dalla caldaia</t>
  </si>
  <si>
    <t>ξradiatore =</t>
  </si>
  <si>
    <t>numero</t>
  </si>
  <si>
    <t>curve</t>
  </si>
  <si>
    <t>strette</t>
  </si>
  <si>
    <t>normali</t>
  </si>
  <si>
    <t>ξcur.str. =</t>
  </si>
  <si>
    <t>ξcur.nor.=</t>
  </si>
  <si>
    <t>larghe</t>
  </si>
  <si>
    <t>ξcur.larg.=</t>
  </si>
  <si>
    <t>ξracc. =</t>
  </si>
  <si>
    <t>raccordi</t>
  </si>
  <si>
    <t>restring.</t>
  </si>
  <si>
    <t>ξrestr. =</t>
  </si>
  <si>
    <t>ξcaldaia.=</t>
  </si>
  <si>
    <t>dalla caldaia al piano</t>
  </si>
  <si>
    <t>totali</t>
  </si>
  <si>
    <t>perd. di carico continue +</t>
  </si>
  <si>
    <t>localizzate</t>
  </si>
  <si>
    <t>circuito più sfavorito</t>
  </si>
  <si>
    <r>
      <t>m</t>
    </r>
    <r>
      <rPr>
        <sz val="11"/>
        <color theme="1"/>
        <rFont val="Calibri"/>
        <family val="2"/>
      </rPr>
      <t>³</t>
    </r>
    <r>
      <rPr>
        <sz val="11"/>
        <color theme="1"/>
        <rFont val="Calibri"/>
        <family val="2"/>
        <scheme val="minor"/>
      </rPr>
      <t>/h</t>
    </r>
  </si>
  <si>
    <t>· Potenza elettrica =</t>
  </si>
  <si>
    <t>5-27</t>
  </si>
  <si>
    <t>LETTO 3</t>
  </si>
  <si>
    <t>BAGNO 3</t>
  </si>
  <si>
    <t>PRANZO - SOGGIORNO</t>
  </si>
  <si>
    <t>LOCALI ACCESSORI</t>
  </si>
  <si>
    <t xml:space="preserve">VANO ASCENSORE </t>
  </si>
  <si>
    <t>appartamento 1 e 2</t>
  </si>
  <si>
    <t>VOLUME RISCALDATO 2 appart. (1 piano)</t>
  </si>
  <si>
    <t>APPARTAMENTO 1</t>
  </si>
  <si>
    <t>APPARTAMENTO 2</t>
  </si>
  <si>
    <t>VOLUME RISCALDATO 20 appart. (7 paini)</t>
  </si>
  <si>
    <t>CHIUSURE DI CONFINE</t>
  </si>
  <si>
    <t>PNO1</t>
  </si>
  <si>
    <t>PNO2</t>
  </si>
  <si>
    <t>SPS1</t>
  </si>
  <si>
    <t>SC1</t>
  </si>
  <si>
    <t>Parete Nord Ovest 01</t>
  </si>
  <si>
    <t>PiS1</t>
  </si>
  <si>
    <t>PiI1</t>
  </si>
  <si>
    <t>Parete Intrna Sud 01</t>
  </si>
  <si>
    <t>PiE1</t>
  </si>
  <si>
    <t>SR1</t>
  </si>
  <si>
    <t>PiE2</t>
  </si>
  <si>
    <t>SW3</t>
  </si>
  <si>
    <t>SL3</t>
  </si>
  <si>
    <t>SW1</t>
  </si>
  <si>
    <t>PiS2</t>
  </si>
  <si>
    <t>PiO1</t>
  </si>
  <si>
    <t>Comune di Cagliari</t>
  </si>
  <si>
    <t>1/192</t>
  </si>
  <si>
    <t>C</t>
  </si>
  <si>
    <t xml:space="preserve">Località considerata: Cagliari </t>
  </si>
  <si>
    <t>LAB. INTEGR. DI PROG. TECN. (TERMOFISICA DELL'EDIFICIO) a.a. 2019/2020</t>
  </si>
  <si>
    <t>SW2</t>
  </si>
  <si>
    <t>PIANO TIPO (INTERMENDIO)</t>
  </si>
  <si>
    <t>STC1</t>
  </si>
  <si>
    <t>STPS1</t>
  </si>
  <si>
    <t>STR1</t>
  </si>
  <si>
    <t>STW3</t>
  </si>
  <si>
    <t>STL3</t>
  </si>
  <si>
    <t>STW2</t>
  </si>
  <si>
    <t>STW1</t>
  </si>
  <si>
    <t>Solaio pavimento Cucina App.1</t>
  </si>
  <si>
    <t>Solaio di copertura Cucina App.1</t>
  </si>
  <si>
    <t>PIANO ULTIMO</t>
  </si>
  <si>
    <t>PSE2</t>
  </si>
  <si>
    <t>PSE1</t>
  </si>
  <si>
    <t>PS4</t>
  </si>
  <si>
    <t>PiI2</t>
  </si>
  <si>
    <t>PiN1</t>
  </si>
  <si>
    <t>PiO2</t>
  </si>
  <si>
    <t>PiN2</t>
  </si>
  <si>
    <t>PS3</t>
  </si>
  <si>
    <t>P04</t>
  </si>
  <si>
    <t>Cagliari (CA)</t>
  </si>
  <si>
    <t>STRATIGRAFIA 01_A</t>
  </si>
  <si>
    <t>PIANO  ULTIMO</t>
  </si>
  <si>
    <t>F T 04</t>
  </si>
  <si>
    <t>F T 05</t>
  </si>
  <si>
    <t>PIANO TIPO (INTERMEDIO)</t>
  </si>
  <si>
    <t>PORTA INGRESSO</t>
  </si>
  <si>
    <t>PILO T</t>
  </si>
  <si>
    <t>VANO SCALE  ASCENSORE LOCALI ACCESSORI</t>
  </si>
  <si>
    <t>SC.APP1</t>
  </si>
  <si>
    <t>SC.APP2</t>
  </si>
  <si>
    <t>SC.SCALE</t>
  </si>
  <si>
    <t>zona C</t>
  </si>
  <si>
    <t>15 novembre - 31 marzo</t>
  </si>
  <si>
    <t>finire di aggiungere le finestre</t>
  </si>
  <si>
    <t>SD1</t>
  </si>
  <si>
    <t>STD1</t>
  </si>
  <si>
    <t>SD2</t>
  </si>
  <si>
    <t>STD2</t>
  </si>
  <si>
    <t>PiS3</t>
  </si>
  <si>
    <t>PiN3</t>
  </si>
  <si>
    <t>'STRATIGRAFIA 04</t>
  </si>
  <si>
    <t>PiO3</t>
  </si>
  <si>
    <t>SO / SE</t>
  </si>
  <si>
    <t>NO / NE</t>
  </si>
  <si>
    <t>LOCALITA' DI CONSIDERATA: CAGLIARI</t>
  </si>
  <si>
    <t>LOCALITA' CONSIDERATA: CAGLIARI</t>
  </si>
  <si>
    <t>MEDIA S - E/O - N - SO/SE - NO/NE</t>
  </si>
  <si>
    <t>15 Novembre - 31 Marzo</t>
  </si>
  <si>
    <r>
      <t>ENERGIA SCAMBIATA PER TRASMISSIONE Q</t>
    </r>
    <r>
      <rPr>
        <b/>
        <vertAlign val="subscript"/>
        <sz val="8"/>
        <color theme="0"/>
        <rFont val="Calibri"/>
        <family val="2"/>
        <scheme val="minor"/>
      </rPr>
      <t xml:space="preserve">H,tr       </t>
    </r>
    <r>
      <rPr>
        <b/>
        <sz val="8"/>
        <color theme="0"/>
        <rFont val="Calibri"/>
        <family val="2"/>
        <scheme val="minor"/>
      </rPr>
      <t xml:space="preserve">               </t>
    </r>
  </si>
  <si>
    <r>
      <t>Potenza/ Cs*</t>
    </r>
    <r>
      <rPr>
        <sz val="10"/>
        <color theme="1"/>
        <rFont val="Symbol"/>
        <family val="1"/>
        <charset val="2"/>
      </rPr>
      <t>D</t>
    </r>
    <r>
      <rPr>
        <sz val="10"/>
        <color theme="1"/>
        <rFont val="Calibri"/>
        <family val="2"/>
        <scheme val="minor"/>
      </rPr>
      <t>T</t>
    </r>
  </si>
  <si>
    <t>Vedi Tabella perd. di carico cont</t>
  </si>
  <si>
    <t>VEDI TABELLE</t>
  </si>
  <si>
    <t>FINESTRE DEL PIANO</t>
  </si>
  <si>
    <t>appartamento 2</t>
  </si>
  <si>
    <t>FT 04  PRANZO app. 2   Orientamento: SUD</t>
  </si>
  <si>
    <t>FT 03  PRANZO app. 2 Orientamento: EST</t>
  </si>
  <si>
    <t>FT 03 LETTO 1 app. 2 Orientamento: OVEST</t>
  </si>
  <si>
    <t>FT 03 DISIMPEGNO app. 2 Orientamento: NORD</t>
  </si>
  <si>
    <t>apporto su un ambiente non riscaldato</t>
  </si>
  <si>
    <t>FINESTRA VANO SCALE</t>
  </si>
  <si>
    <t>FT VANO SCALE Orientamento: EST</t>
  </si>
  <si>
    <t>FT 01 CUCINA app. 2 Orientamento: NORD - OVEST</t>
  </si>
  <si>
    <t>FT 03  PRANZO app. 2 Orientamento: SUD - EST</t>
  </si>
  <si>
    <t>FT 03  PRANZO - SOGGIORNOapp. 2   Orientamento: SUD</t>
  </si>
  <si>
    <t>appartamento 1</t>
  </si>
  <si>
    <t>FT 01 CUCINA app. 1 Orientamento: NORD - OVEST</t>
  </si>
  <si>
    <t>FT 02 PRANZO - SOGGIORNO app. 1 Orientamento: NORD - OVEST</t>
  </si>
  <si>
    <t>FT 03  PRANZO - SOGGIORNOapp. 1   Orientamento: NORD</t>
  </si>
  <si>
    <t>FT 04  LETTO 3 app. 1   Orientamento: NORD</t>
  </si>
  <si>
    <t>FT 03  LETTO 3 app. 1   Orientamento: NORD</t>
  </si>
  <si>
    <t>FT 05  WC 2 app. 1   Orientamento: NORD</t>
  </si>
  <si>
    <t>FT 03  LETTO 2 app. 1   Orientamento: NORD</t>
  </si>
  <si>
    <t>FT 05  LETTO 2 app. 1   Orientamento: EST</t>
  </si>
  <si>
    <t>FT 04  LETTO 2 app. 1   Orientamento: EST</t>
  </si>
  <si>
    <t>FT 05  WC 1 app. 1   Orientamento: EST</t>
  </si>
  <si>
    <t>FT 03  LETTO 1 app. 1   Orientamento: EST</t>
  </si>
  <si>
    <t>FT 01 CUCINA app. 2 Orientamento: SUD - EST</t>
  </si>
  <si>
    <t>FT 02 PRANZO - SOGGIORNO app. 2 Orientamento: SUD - EST</t>
  </si>
  <si>
    <t>FT 04  LETTO 3 app. 2   Orientamento: SUD</t>
  </si>
  <si>
    <t>FT 03  LETTO 3 app. 2   Orientamento: SUD</t>
  </si>
  <si>
    <t>FT 05  WC 2 app. 2  Orientamento: SUD</t>
  </si>
  <si>
    <t>FT 03  LETTO 2 app. 2   Orientamento: SUD</t>
  </si>
  <si>
    <t>FT 05  LETTO 2 app. 2   Orientamento: OVEST</t>
  </si>
  <si>
    <t>FT 04  LETTO 2 app. 2   Orientamento: OVEST</t>
  </si>
  <si>
    <t>FT 05  WC 1 app.  2   Orientamento: OVEST</t>
  </si>
  <si>
    <t>FT 03  LETTO 1 app.  2   Orientamento: OVEST</t>
  </si>
  <si>
    <t xml:space="preserve">scegliere i mesi a seconda della zona climatica </t>
  </si>
  <si>
    <t>numero piani intermedi</t>
  </si>
  <si>
    <t>lana di roccia</t>
  </si>
  <si>
    <t>dm</t>
  </si>
  <si>
    <t>cm</t>
  </si>
  <si>
    <t>mm</t>
  </si>
  <si>
    <t>1mm</t>
  </si>
  <si>
    <t>1cm</t>
  </si>
  <si>
    <t>10cm</t>
  </si>
  <si>
    <t>Telo di tenuta all'aria</t>
  </si>
  <si>
    <t>Pannelli PV o lastre di pietra - ceramica</t>
  </si>
  <si>
    <t>Intercapedine ventilata</t>
  </si>
  <si>
    <t>Intercapedine d'aria non ventilata</t>
  </si>
  <si>
    <t>PARETI ESTERNE</t>
  </si>
  <si>
    <t>STRATIGRAFIA 02 - A - Proposta per struttura in c.a.</t>
  </si>
  <si>
    <t>Pannello in cartongesso per esterno; r = 1050 kg/m³</t>
  </si>
  <si>
    <t>Pannello in fibra di legno; r = 150 kg/m³</t>
  </si>
  <si>
    <t>Pannello in cartongesso; r = 730 kg/m³</t>
  </si>
  <si>
    <t>Pannello in fibrogesso; r = 1018 kg/m³</t>
  </si>
  <si>
    <t>Pannello in osb; r = 540 kg/m³</t>
  </si>
  <si>
    <t>Cellulosa; r = 50 kg/m³</t>
  </si>
  <si>
    <t xml:space="preserve"> UNI EN ISO 6946</t>
  </si>
  <si>
    <t>Piastrella - gress</t>
  </si>
  <si>
    <t>lamiera grecata</t>
  </si>
  <si>
    <t>massetto - caldana cls</t>
  </si>
  <si>
    <t>Lana di roccia</t>
  </si>
  <si>
    <t>parete cls armato</t>
  </si>
  <si>
    <t>STRATIGRAFIA 07 - A - Solaio copertura</t>
  </si>
  <si>
    <t>Tegola</t>
  </si>
  <si>
    <t xml:space="preserve">STRATIGRAFIA 03 - portone ingresso </t>
  </si>
  <si>
    <t>STRATIGRAFIA 04  - Solaio base</t>
  </si>
  <si>
    <t>STRATIGRAFIA 01 - Proposta per struttura in acciaio</t>
  </si>
  <si>
    <t>STRATIGRAFIA 01_A - ZONA COLLEGAMENTO VERTICALE</t>
  </si>
  <si>
    <t>stratigr. 01_A</t>
  </si>
  <si>
    <t>intrtpolazione linare</t>
  </si>
  <si>
    <t>max</t>
  </si>
  <si>
    <t xml:space="preserve">numero radiatori </t>
  </si>
  <si>
    <t>Calcolo Vaso di espansione:</t>
  </si>
  <si>
    <t>piano</t>
  </si>
  <si>
    <t>1+2</t>
  </si>
  <si>
    <t>Disl v-v</t>
  </si>
  <si>
    <t>Patm</t>
  </si>
  <si>
    <t>bar</t>
  </si>
  <si>
    <t>Pa = pressione atmosferica assoluta, in bar;</t>
  </si>
  <si>
    <t>Pidr</t>
  </si>
  <si>
    <t>pressione di mandata rete</t>
  </si>
  <si>
    <t>Ptar</t>
  </si>
  <si>
    <t xml:space="preserve">pressione di taratura della valvola di sicurezza </t>
  </si>
  <si>
    <t>Pi</t>
  </si>
  <si>
    <t>P1 = pressione assoluta iniziale , misurata in bar, corrispondente alla pressione idrostatica nel punto in cui viene
installato il vaso (o alla pressione di reintegro del gruppo di riempimento) aumentata di una quantità stabilita
dal progettista e comunque non inferiore a 0,15 bar;
Tale valore iniziale di pressione assoluta non potrà essere inferiore a 1.5 bar;</t>
  </si>
  <si>
    <t>Pf</t>
  </si>
  <si>
    <t>P2 = pressione assoluta di taratura della valvola di sicurezza, in bar, diminuita di una quantità corrispondente al
dislivello di quota esistente tra vaso di espansione e valvola di sicurezza, se quest'ultima è posta più in basso
ovvero aumentata se posta più in alto;</t>
  </si>
  <si>
    <t>Va</t>
  </si>
  <si>
    <t>VA =volume totale dell'impianto, in litri;</t>
  </si>
  <si>
    <t>Tm</t>
  </si>
  <si>
    <t>°C</t>
  </si>
  <si>
    <t>Utilizzare sempre la temperatura del termostato di blocco</t>
  </si>
  <si>
    <t>tm = temperatura massima ammissibile in°C riferita al l’intervento dei dispositivi di sicurezza.</t>
  </si>
  <si>
    <t>n = 0,31 + 3,9 x10-4.tm
2 ;</t>
  </si>
  <si>
    <t>Ve</t>
  </si>
  <si>
    <t>VE =VA . n/100, volume di espansione in litri, ove:</t>
  </si>
  <si>
    <r>
      <t>Vn</t>
    </r>
    <r>
      <rPr>
        <sz val="11"/>
        <color indexed="8"/>
        <rFont val="Calibri"/>
        <family val="2"/>
      </rPr>
      <t>≥</t>
    </r>
  </si>
  <si>
    <t>Vn = volume nominale del vaso, in litri;</t>
  </si>
  <si>
    <t>&gt;</t>
  </si>
  <si>
    <t>Vasi di espansione a membrana disponibili in commercio</t>
  </si>
  <si>
    <r>
      <t>[l</t>
    </r>
    <r>
      <rPr>
        <b/>
        <sz val="11"/>
        <color indexed="8"/>
        <rFont val="Calibri"/>
        <family val="2"/>
      </rPr>
      <t>]</t>
    </r>
  </si>
  <si>
    <t xml:space="preserve"> per volumi teorici richiesti da</t>
  </si>
  <si>
    <t>a</t>
  </si>
  <si>
    <t>"</t>
  </si>
  <si>
    <t>Volume acqua tubi</t>
  </si>
  <si>
    <t>Volume acqua elementi radianti</t>
  </si>
  <si>
    <t xml:space="preserve">n°elementi * litri elemento </t>
  </si>
  <si>
    <t>Lunghezza tubi *diametro interno</t>
  </si>
  <si>
    <t>Volume acqua collettore</t>
  </si>
  <si>
    <t>[litri]</t>
  </si>
  <si>
    <t>1 vaso di espanione</t>
  </si>
  <si>
    <t>n° vasi</t>
  </si>
  <si>
    <t>Litri vaso</t>
  </si>
  <si>
    <t>Litri vasi</t>
  </si>
  <si>
    <t>verifica</t>
  </si>
  <si>
    <t xml:space="preserve">singolo appartamento </t>
  </si>
  <si>
    <t>intero edificio</t>
  </si>
  <si>
    <t>n° appartmenti per piano</t>
  </si>
  <si>
    <t>n° piani</t>
  </si>
  <si>
    <t>Litri impianto appartamenti</t>
  </si>
  <si>
    <t>Volume acqua tubi mandata</t>
  </si>
  <si>
    <t>dimensiomanento tubazioni di mandata</t>
  </si>
  <si>
    <t>portata tubazioni di mandata</t>
  </si>
  <si>
    <t>GT</t>
  </si>
  <si>
    <t>salto termico radiatori</t>
  </si>
  <si>
    <r>
      <rPr>
        <sz val="11"/>
        <color indexed="8"/>
        <rFont val="Symbol"/>
        <family val="1"/>
        <charset val="2"/>
      </rPr>
      <t>D</t>
    </r>
    <r>
      <rPr>
        <sz val="11"/>
        <color indexed="8"/>
        <rFont val="Calibri"/>
        <family val="2"/>
      </rPr>
      <t xml:space="preserve">t </t>
    </r>
  </si>
  <si>
    <r>
      <t>[mm</t>
    </r>
    <r>
      <rPr>
        <b/>
        <vertAlign val="superscript"/>
        <sz val="11"/>
        <color indexed="8"/>
        <rFont val="Calibri"/>
        <family val="2"/>
      </rPr>
      <t>2</t>
    </r>
    <r>
      <rPr>
        <b/>
        <sz val="11"/>
        <color indexed="8"/>
        <rFont val="Calibri"/>
        <family val="2"/>
      </rPr>
      <t>]</t>
    </r>
  </si>
  <si>
    <t>Velocità max dento tubazione</t>
  </si>
  <si>
    <t xml:space="preserve">v </t>
  </si>
  <si>
    <t>[m/s]</t>
  </si>
  <si>
    <r>
      <t>fattore conversione [l/h] in [m</t>
    </r>
    <r>
      <rPr>
        <b/>
        <vertAlign val="superscript"/>
        <sz val="11"/>
        <color indexed="8"/>
        <rFont val="Calibri"/>
        <family val="2"/>
      </rPr>
      <t>3</t>
    </r>
    <r>
      <rPr>
        <b/>
        <sz val="11"/>
        <color indexed="8"/>
        <rFont val="Calibri"/>
        <family val="2"/>
      </rPr>
      <t>/s]</t>
    </r>
  </si>
  <si>
    <r>
      <t>[m</t>
    </r>
    <r>
      <rPr>
        <b/>
        <vertAlign val="superscript"/>
        <sz val="11"/>
        <color indexed="8"/>
        <rFont val="Calibri"/>
        <family val="2"/>
      </rPr>
      <t>3</t>
    </r>
    <r>
      <rPr>
        <b/>
        <sz val="11"/>
        <color indexed="8"/>
        <rFont val="Calibri"/>
        <family val="2"/>
      </rPr>
      <t>/s]</t>
    </r>
  </si>
  <si>
    <t>dimensionamento tubatura di mandata partendo dalla potenza termica richiesta</t>
  </si>
  <si>
    <t>diametro di calcolo tubo</t>
  </si>
  <si>
    <r>
      <t>[mm</t>
    </r>
    <r>
      <rPr>
        <b/>
        <sz val="11"/>
        <color indexed="8"/>
        <rFont val="Calibri"/>
        <family val="2"/>
      </rPr>
      <t>]</t>
    </r>
  </si>
  <si>
    <t>Lunghezza tubazione da caldaia</t>
  </si>
  <si>
    <r>
      <t>[m</t>
    </r>
    <r>
      <rPr>
        <b/>
        <sz val="11"/>
        <color indexed="8"/>
        <rFont val="Calibri"/>
        <family val="2"/>
      </rPr>
      <t>]</t>
    </r>
  </si>
  <si>
    <t>Volume acqua tubi ritorno</t>
  </si>
  <si>
    <t>mandata + ritorno</t>
  </si>
  <si>
    <t>Volume acqua tubi colonna</t>
  </si>
  <si>
    <t>volume totale dell'impianto</t>
  </si>
  <si>
    <t>Ing. D. R. PILIA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</si>
</sst>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quot;€&quot;\ * #,##0.00_-;_-&quot;€&quot;\ * &quot;-&quot;??_-;_-@_-"/>
    <numFmt numFmtId="165" formatCode="0.0"/>
    <numFmt numFmtId="166" formatCode="0.000"/>
    <numFmt numFmtId="167" formatCode="0.0000"/>
    <numFmt numFmtId="168" formatCode="&quot;€&quot;\ #,##0.00"/>
    <numFmt numFmtId="169" formatCode="0.0E+00"/>
  </numFmts>
  <fonts count="135">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5"/>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b/>
      <sz val="9"/>
      <color theme="1"/>
      <name val="Calibri"/>
      <family val="2"/>
      <scheme val="minor"/>
    </font>
    <font>
      <sz val="15"/>
      <color theme="1"/>
      <name val="Calibri"/>
      <family val="2"/>
      <scheme val="minor"/>
    </font>
    <font>
      <vertAlign val="subscript"/>
      <sz val="11"/>
      <color theme="1"/>
      <name val="Calibri"/>
      <family val="2"/>
      <scheme val="minor"/>
    </font>
    <font>
      <sz val="18"/>
      <color theme="1"/>
      <name val="Calibri"/>
      <family val="2"/>
      <scheme val="minor"/>
    </font>
    <font>
      <b/>
      <sz val="12"/>
      <color theme="1"/>
      <name val="Calibri"/>
      <family val="2"/>
      <scheme val="minor"/>
    </font>
    <font>
      <b/>
      <i/>
      <u/>
      <sz val="8"/>
      <color theme="1"/>
      <name val="Calibri"/>
      <family val="2"/>
      <scheme val="minor"/>
    </font>
    <font>
      <vertAlign val="superscript"/>
      <sz val="8"/>
      <color theme="1"/>
      <name val="Calibri"/>
      <family val="2"/>
      <scheme val="minor"/>
    </font>
    <font>
      <i/>
      <sz val="10"/>
      <color theme="1"/>
      <name val="Calibri"/>
      <family val="2"/>
      <scheme val="minor"/>
    </font>
    <font>
      <sz val="11"/>
      <name val="Calibri"/>
      <family val="2"/>
      <scheme val="minor"/>
    </font>
    <font>
      <sz val="11"/>
      <color theme="1"/>
      <name val="Calibri"/>
      <family val="2"/>
    </font>
    <font>
      <sz val="8"/>
      <color theme="1"/>
      <name val="Calibri"/>
      <family val="2"/>
    </font>
    <font>
      <b/>
      <vertAlign val="subscript"/>
      <sz val="11"/>
      <color theme="1"/>
      <name val="Calibri"/>
      <family val="2"/>
      <scheme val="minor"/>
    </font>
    <font>
      <sz val="14"/>
      <color theme="1"/>
      <name val="Calibri"/>
      <family val="2"/>
      <scheme val="minor"/>
    </font>
    <font>
      <i/>
      <sz val="8"/>
      <color theme="1"/>
      <name val="Calibri"/>
      <family val="2"/>
      <scheme val="minor"/>
    </font>
    <font>
      <b/>
      <sz val="16"/>
      <color theme="0"/>
      <name val="Calibri"/>
      <family val="2"/>
      <scheme val="minor"/>
    </font>
    <font>
      <b/>
      <sz val="16"/>
      <color theme="0"/>
      <name val="Calibri"/>
      <family val="2"/>
    </font>
    <font>
      <b/>
      <sz val="8"/>
      <color theme="0"/>
      <name val="Calibri"/>
      <family val="2"/>
      <scheme val="minor"/>
    </font>
    <font>
      <b/>
      <sz val="11"/>
      <color theme="1"/>
      <name val="Calibri"/>
      <family val="2"/>
    </font>
    <font>
      <b/>
      <sz val="8"/>
      <color theme="1"/>
      <name val="Calibri"/>
      <family val="2"/>
    </font>
    <font>
      <b/>
      <sz val="20"/>
      <color theme="0"/>
      <name val="Calibri"/>
      <family val="2"/>
      <scheme val="minor"/>
    </font>
    <font>
      <b/>
      <vertAlign val="subscript"/>
      <sz val="20"/>
      <color theme="0"/>
      <name val="Calibri"/>
      <family val="2"/>
      <scheme val="minor"/>
    </font>
    <font>
      <b/>
      <vertAlign val="subscript"/>
      <sz val="11"/>
      <color theme="1"/>
      <name val="Calibri"/>
      <family val="2"/>
    </font>
    <font>
      <sz val="11"/>
      <color theme="1"/>
      <name val="Calibri"/>
      <family val="2"/>
      <scheme val="minor"/>
    </font>
    <font>
      <b/>
      <sz val="10"/>
      <name val="Calibri"/>
      <family val="2"/>
      <scheme val="minor"/>
    </font>
    <font>
      <b/>
      <vertAlign val="subscript"/>
      <sz val="10"/>
      <name val="Calibri"/>
      <family val="2"/>
      <scheme val="minor"/>
    </font>
    <font>
      <b/>
      <sz val="10"/>
      <name val="Calibri"/>
      <family val="2"/>
    </font>
    <font>
      <vertAlign val="subscript"/>
      <sz val="10"/>
      <color theme="1"/>
      <name val="Calibri"/>
      <family val="2"/>
      <scheme val="minor"/>
    </font>
    <font>
      <vertAlign val="superscript"/>
      <sz val="11"/>
      <color theme="1"/>
      <name val="Calibri"/>
      <family val="2"/>
      <scheme val="minor"/>
    </font>
    <font>
      <i/>
      <sz val="11"/>
      <color theme="1"/>
      <name val="Calibri"/>
      <family val="2"/>
      <scheme val="minor"/>
    </font>
    <font>
      <b/>
      <vertAlign val="subscript"/>
      <sz val="10"/>
      <color theme="1"/>
      <name val="Calibri"/>
      <family val="2"/>
      <scheme val="minor"/>
    </font>
    <font>
      <sz val="12"/>
      <color theme="1"/>
      <name val="Calibri"/>
      <family val="2"/>
      <scheme val="minor"/>
    </font>
    <font>
      <sz val="12"/>
      <name val="Calibri"/>
      <family val="2"/>
      <scheme val="minor"/>
    </font>
    <font>
      <b/>
      <sz val="10"/>
      <color theme="1"/>
      <name val="Calibri"/>
      <family val="2"/>
    </font>
    <font>
      <b/>
      <vertAlign val="subscript"/>
      <sz val="10"/>
      <color theme="1"/>
      <name val="Calibri"/>
      <family val="2"/>
    </font>
    <font>
      <vertAlign val="subscript"/>
      <sz val="11"/>
      <color theme="1"/>
      <name val="Calibri"/>
      <family val="2"/>
    </font>
    <font>
      <sz val="10"/>
      <color theme="1"/>
      <name val="Calibri"/>
      <family val="2"/>
    </font>
    <font>
      <b/>
      <vertAlign val="subscript"/>
      <sz val="8"/>
      <color theme="1"/>
      <name val="Calibri"/>
      <family val="2"/>
      <scheme val="minor"/>
    </font>
    <font>
      <sz val="10"/>
      <name val="Calibri"/>
      <family val="2"/>
    </font>
    <font>
      <sz val="10"/>
      <name val="Calibri"/>
      <family val="2"/>
      <scheme val="minor"/>
    </font>
    <font>
      <b/>
      <vertAlign val="subscript"/>
      <sz val="9"/>
      <color theme="1"/>
      <name val="Calibri"/>
      <family val="2"/>
      <scheme val="minor"/>
    </font>
    <font>
      <b/>
      <sz val="11"/>
      <color theme="0"/>
      <name val="Calibri"/>
      <family val="2"/>
      <scheme val="minor"/>
    </font>
    <font>
      <b/>
      <sz val="14"/>
      <color theme="0"/>
      <name val="Calibri"/>
      <family val="2"/>
      <scheme val="minor"/>
    </font>
    <font>
      <b/>
      <sz val="12"/>
      <color theme="0"/>
      <name val="Calibri"/>
      <family val="2"/>
      <scheme val="minor"/>
    </font>
    <font>
      <b/>
      <vertAlign val="subscript"/>
      <sz val="11"/>
      <color theme="0"/>
      <name val="Calibri"/>
      <family val="2"/>
      <scheme val="minor"/>
    </font>
    <font>
      <b/>
      <vertAlign val="subscript"/>
      <sz val="12"/>
      <color theme="0"/>
      <name val="Calibri"/>
      <family val="2"/>
      <scheme val="minor"/>
    </font>
    <font>
      <b/>
      <sz val="10"/>
      <color theme="0"/>
      <name val="Calibri"/>
      <family val="2"/>
      <scheme val="minor"/>
    </font>
    <font>
      <b/>
      <vertAlign val="subscript"/>
      <sz val="10"/>
      <color theme="0"/>
      <name val="Calibri"/>
      <family val="2"/>
      <scheme val="minor"/>
    </font>
    <font>
      <b/>
      <vertAlign val="subscript"/>
      <sz val="14"/>
      <color theme="0"/>
      <name val="Calibri"/>
      <family val="2"/>
      <scheme val="minor"/>
    </font>
    <font>
      <b/>
      <vertAlign val="subscript"/>
      <sz val="16"/>
      <color theme="0"/>
      <name val="Calibri"/>
      <family val="2"/>
      <scheme val="minor"/>
    </font>
    <font>
      <b/>
      <vertAlign val="subscript"/>
      <sz val="12"/>
      <color theme="1"/>
      <name val="Calibri"/>
      <family val="2"/>
      <scheme val="minor"/>
    </font>
    <font>
      <b/>
      <sz val="9"/>
      <color theme="0"/>
      <name val="Calibri"/>
      <family val="2"/>
      <scheme val="minor"/>
    </font>
    <font>
      <b/>
      <sz val="14"/>
      <color theme="0"/>
      <name val="Calibri"/>
      <family val="2"/>
    </font>
    <font>
      <b/>
      <vertAlign val="subscript"/>
      <sz val="14"/>
      <color theme="0"/>
      <name val="Calibri"/>
      <family val="2"/>
    </font>
    <font>
      <b/>
      <vertAlign val="subscript"/>
      <sz val="12"/>
      <color theme="0"/>
      <name val="Calibri"/>
      <family val="2"/>
    </font>
    <font>
      <b/>
      <sz val="10"/>
      <color theme="0"/>
      <name val="Calibri"/>
      <family val="2"/>
    </font>
    <font>
      <b/>
      <vertAlign val="subscript"/>
      <sz val="10"/>
      <color theme="0"/>
      <name val="Calibri"/>
      <family val="2"/>
    </font>
    <font>
      <b/>
      <vertAlign val="subscript"/>
      <sz val="20"/>
      <color theme="0"/>
      <name val="Calibri"/>
      <family val="2"/>
    </font>
    <font>
      <sz val="12"/>
      <name val="Calibri"/>
      <family val="2"/>
    </font>
    <font>
      <vertAlign val="subscript"/>
      <sz val="12"/>
      <color theme="1"/>
      <name val="Calibri"/>
      <family val="2"/>
      <scheme val="minor"/>
    </font>
    <font>
      <b/>
      <sz val="11"/>
      <name val="Calibri"/>
      <family val="2"/>
      <scheme val="minor"/>
    </font>
    <font>
      <vertAlign val="superscript"/>
      <sz val="8"/>
      <color theme="1"/>
      <name val="Calibri"/>
      <family val="2"/>
    </font>
    <font>
      <b/>
      <u/>
      <vertAlign val="subscript"/>
      <sz val="11"/>
      <name val="Calibri"/>
      <family val="2"/>
    </font>
    <font>
      <b/>
      <u/>
      <sz val="11"/>
      <color theme="1"/>
      <name val="Calibri"/>
      <family val="2"/>
      <scheme val="minor"/>
    </font>
    <font>
      <b/>
      <vertAlign val="subscript"/>
      <sz val="11"/>
      <name val="Calibri"/>
      <family val="2"/>
    </font>
    <font>
      <b/>
      <vertAlign val="subscript"/>
      <sz val="8.8000000000000007"/>
      <color theme="1"/>
      <name val="Calibri"/>
      <family val="2"/>
    </font>
    <font>
      <b/>
      <i/>
      <sz val="12"/>
      <color theme="1"/>
      <name val="Calibri"/>
      <family val="2"/>
      <scheme val="minor"/>
    </font>
    <font>
      <b/>
      <sz val="12"/>
      <color theme="1"/>
      <name val="Calibri"/>
      <family val="2"/>
    </font>
    <font>
      <b/>
      <vertAlign val="subscript"/>
      <sz val="12"/>
      <color theme="1"/>
      <name val="Calibri"/>
      <family val="2"/>
    </font>
    <font>
      <b/>
      <vertAlign val="subscript"/>
      <sz val="9"/>
      <color theme="1"/>
      <name val="Calibri"/>
      <family val="2"/>
    </font>
    <font>
      <b/>
      <vertAlign val="subscript"/>
      <sz val="9.9"/>
      <color theme="1"/>
      <name val="Calibri"/>
      <family val="2"/>
    </font>
    <font>
      <b/>
      <sz val="9.9"/>
      <color theme="1"/>
      <name val="Calibri"/>
      <family val="2"/>
    </font>
    <font>
      <b/>
      <vertAlign val="subscript"/>
      <sz val="8"/>
      <color theme="1"/>
      <name val="Calibri"/>
      <family val="2"/>
    </font>
    <font>
      <b/>
      <sz val="16"/>
      <color theme="1"/>
      <name val="Calibri"/>
      <family val="2"/>
      <scheme val="minor"/>
    </font>
    <font>
      <vertAlign val="superscript"/>
      <sz val="10"/>
      <color theme="1"/>
      <name val="Calibri"/>
      <family val="2"/>
      <scheme val="minor"/>
    </font>
    <font>
      <b/>
      <sz val="12"/>
      <color rgb="FF002060"/>
      <name val="Calibri"/>
      <family val="2"/>
      <scheme val="minor"/>
    </font>
    <font>
      <b/>
      <sz val="10"/>
      <name val="Arial"/>
      <family val="2"/>
    </font>
    <font>
      <sz val="8"/>
      <name val="Arial"/>
      <family val="2"/>
    </font>
    <font>
      <vertAlign val="superscript"/>
      <sz val="8"/>
      <name val="Arial"/>
      <family val="2"/>
    </font>
    <font>
      <sz val="8"/>
      <name val="Calibri"/>
      <family val="2"/>
      <scheme val="minor"/>
    </font>
    <font>
      <vertAlign val="superscript"/>
      <sz val="10"/>
      <name val="Calibri"/>
      <family val="2"/>
      <scheme val="minor"/>
    </font>
    <font>
      <b/>
      <sz val="10"/>
      <color rgb="FFFF0000"/>
      <name val="Calibri"/>
      <family val="2"/>
      <scheme val="minor"/>
    </font>
    <font>
      <b/>
      <vertAlign val="superscript"/>
      <sz val="10"/>
      <color theme="0"/>
      <name val="Calibri"/>
      <family val="2"/>
      <scheme val="minor"/>
    </font>
    <font>
      <b/>
      <vertAlign val="superscript"/>
      <sz val="8"/>
      <color theme="1"/>
      <name val="Calibri"/>
      <family val="2"/>
      <scheme val="minor"/>
    </font>
    <font>
      <vertAlign val="subscript"/>
      <sz val="8"/>
      <color theme="1"/>
      <name val="Calibri"/>
      <family val="2"/>
      <scheme val="minor"/>
    </font>
    <font>
      <u/>
      <sz val="11"/>
      <color theme="10"/>
      <name val="Calibri"/>
      <family val="2"/>
      <scheme val="minor"/>
    </font>
    <font>
      <u/>
      <sz val="11"/>
      <color theme="11"/>
      <name val="Calibri"/>
      <family val="2"/>
      <scheme val="minor"/>
    </font>
    <font>
      <b/>
      <sz val="26"/>
      <color rgb="FFFF0000"/>
      <name val="Calibri"/>
      <family val="2"/>
      <scheme val="minor"/>
    </font>
    <font>
      <sz val="18"/>
      <color theme="1"/>
      <name val="Arial,Bold"/>
    </font>
    <font>
      <sz val="11"/>
      <color theme="0"/>
      <name val="Calibri"/>
      <family val="2"/>
    </font>
    <font>
      <b/>
      <sz val="8"/>
      <color theme="0"/>
      <name val="Calibri"/>
      <family val="2"/>
    </font>
    <font>
      <sz val="8"/>
      <color theme="0"/>
      <name val="Calibri"/>
      <family val="2"/>
    </font>
    <font>
      <b/>
      <sz val="11"/>
      <color theme="0"/>
      <name val="Calibri"/>
      <family val="2"/>
    </font>
    <font>
      <b/>
      <vertAlign val="subscript"/>
      <sz val="11"/>
      <color theme="0"/>
      <name val="Calibri"/>
      <family val="2"/>
    </font>
    <font>
      <sz val="10"/>
      <color theme="0"/>
      <name val="Calibri"/>
      <family val="2"/>
    </font>
    <font>
      <i/>
      <sz val="10"/>
      <color theme="0"/>
      <name val="Calibri"/>
      <family val="2"/>
    </font>
    <font>
      <b/>
      <sz val="8"/>
      <name val="Calibri"/>
      <family val="2"/>
      <scheme val="minor"/>
    </font>
    <font>
      <b/>
      <i/>
      <sz val="10"/>
      <color theme="1"/>
      <name val="Calibri"/>
      <family val="2"/>
      <scheme val="minor"/>
    </font>
    <font>
      <b/>
      <vertAlign val="subscript"/>
      <sz val="22"/>
      <color theme="0"/>
      <name val="Calibri"/>
      <family val="2"/>
    </font>
    <font>
      <b/>
      <vertAlign val="subscript"/>
      <sz val="9"/>
      <color theme="0"/>
      <name val="Calibri"/>
      <family val="2"/>
      <scheme val="minor"/>
    </font>
    <font>
      <b/>
      <sz val="48"/>
      <color theme="1"/>
      <name val="Calibri"/>
      <family val="2"/>
      <scheme val="minor"/>
    </font>
    <font>
      <b/>
      <sz val="18"/>
      <color theme="1"/>
      <name val="Calibri"/>
      <family val="2"/>
      <scheme val="minor"/>
    </font>
    <font>
      <sz val="11"/>
      <color rgb="FF000000"/>
      <name val="Times New Roman"/>
      <family val="1"/>
    </font>
    <font>
      <sz val="11"/>
      <color theme="1"/>
      <name val="Times New Roman"/>
      <family val="1"/>
    </font>
    <font>
      <sz val="12"/>
      <color rgb="FF000000"/>
      <name val="Arial"/>
      <family val="2"/>
    </font>
    <font>
      <sz val="11"/>
      <color theme="1"/>
      <name val="Symbol"/>
      <family val="1"/>
      <charset val="2"/>
    </font>
    <font>
      <sz val="11"/>
      <color theme="1"/>
      <name val="Calibri"/>
      <family val="2"/>
      <charset val="2"/>
      <scheme val="minor"/>
    </font>
    <font>
      <sz val="9"/>
      <color theme="1"/>
      <name val="Calibri"/>
      <family val="2"/>
    </font>
    <font>
      <b/>
      <sz val="14"/>
      <color rgb="FFFF0000"/>
      <name val="Calibri"/>
      <family val="2"/>
      <scheme val="minor"/>
    </font>
    <font>
      <u/>
      <sz val="8.8000000000000007"/>
      <color theme="10"/>
      <name val="Calibri"/>
      <family val="2"/>
    </font>
    <font>
      <sz val="11"/>
      <color rgb="FFFF0000"/>
      <name val="Calibri"/>
      <family val="2"/>
      <scheme val="minor"/>
    </font>
    <font>
      <sz val="10"/>
      <color rgb="FFFF0000"/>
      <name val="Calibri"/>
      <family val="2"/>
      <scheme val="minor"/>
    </font>
    <font>
      <b/>
      <vertAlign val="subscript"/>
      <sz val="8"/>
      <color theme="0"/>
      <name val="Calibri"/>
      <family val="2"/>
      <scheme val="minor"/>
    </font>
    <font>
      <sz val="10"/>
      <color theme="1"/>
      <name val="Symbol"/>
      <family val="1"/>
      <charset val="2"/>
    </font>
    <font>
      <b/>
      <sz val="26"/>
      <color theme="1"/>
      <name val="Calibri"/>
      <family val="2"/>
      <scheme val="minor"/>
    </font>
    <font>
      <sz val="22"/>
      <color theme="1"/>
      <name val="Calibri"/>
      <family val="2"/>
      <scheme val="minor"/>
    </font>
    <font>
      <sz val="9"/>
      <color indexed="81"/>
      <name val="Tahoma"/>
      <family val="2"/>
    </font>
    <font>
      <b/>
      <sz val="9"/>
      <color indexed="81"/>
      <name val="Tahoma"/>
      <family val="2"/>
    </font>
    <font>
      <sz val="8"/>
      <color rgb="FFFF0000"/>
      <name val="Calibri"/>
      <family val="2"/>
      <scheme val="minor"/>
    </font>
    <font>
      <sz val="11"/>
      <color indexed="8"/>
      <name val="Calibri"/>
      <family val="2"/>
    </font>
    <font>
      <sz val="10"/>
      <name val="Arial"/>
      <family val="2"/>
    </font>
    <font>
      <b/>
      <sz val="11"/>
      <color indexed="8"/>
      <name val="Calibri"/>
      <family val="2"/>
    </font>
    <font>
      <sz val="11"/>
      <color indexed="8"/>
      <name val="Symbol"/>
      <family val="1"/>
      <charset val="2"/>
    </font>
    <font>
      <b/>
      <vertAlign val="superscript"/>
      <sz val="11"/>
      <color indexed="8"/>
      <name val="Calibri"/>
      <family val="2"/>
    </font>
    <font>
      <sz val="7"/>
      <color theme="1"/>
      <name val="Calibri"/>
      <family val="2"/>
      <scheme val="minor"/>
    </font>
  </fonts>
  <fills count="3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2060"/>
        <bgColor indexed="64"/>
      </patternFill>
    </fill>
    <fill>
      <patternFill patternType="solid">
        <fgColor rgb="FFCCECFF"/>
        <bgColor indexed="64"/>
      </patternFill>
    </fill>
    <fill>
      <patternFill patternType="solid">
        <fgColor rgb="FFEAEAEA"/>
        <bgColor indexed="64"/>
      </patternFill>
    </fill>
    <fill>
      <patternFill patternType="solid">
        <fgColor theme="7" tint="0.79998168889431442"/>
        <bgColor indexed="64"/>
      </patternFill>
    </fill>
    <fill>
      <patternFill patternType="solid">
        <fgColor theme="0"/>
        <bgColor indexed="64"/>
      </patternFill>
    </fill>
    <fill>
      <patternFill patternType="solid">
        <fgColor rgb="FF00CC00"/>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6948"/>
        <bgColor indexed="64"/>
      </patternFill>
    </fill>
    <fill>
      <patternFill patternType="solid">
        <fgColor rgb="FF008000"/>
        <bgColor indexed="64"/>
      </patternFill>
    </fill>
    <fill>
      <patternFill patternType="solid">
        <fgColor rgb="FFFF572F"/>
        <bgColor indexed="64"/>
      </patternFill>
    </fill>
    <fill>
      <patternFill patternType="solid">
        <fgColor rgb="FFFF9300"/>
        <bgColor indexed="64"/>
      </patternFill>
    </fill>
    <fill>
      <patternFill patternType="solid">
        <fgColor rgb="FFE3BBA0"/>
        <bgColor indexed="64"/>
      </patternFill>
    </fill>
    <fill>
      <patternFill patternType="solid">
        <fgColor rgb="FFCCEAB8"/>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rgb="FFFF7E79"/>
        <bgColor indexed="64"/>
      </patternFill>
    </fill>
    <fill>
      <patternFill patternType="solid">
        <fgColor rgb="FFF830BF"/>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tint="-0.249977111117893"/>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auto="1"/>
      </top>
      <bottom/>
      <diagonal/>
    </border>
    <border>
      <left/>
      <right style="medium">
        <color auto="1"/>
      </right>
      <top style="medium">
        <color auto="1"/>
      </top>
      <bottom style="medium">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bottom/>
      <diagonal/>
    </border>
    <border>
      <left/>
      <right style="double">
        <color auto="1"/>
      </right>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medium">
        <color indexed="64"/>
      </top>
      <bottom/>
      <diagonal/>
    </border>
    <border>
      <left/>
      <right/>
      <top/>
      <bottom style="medium">
        <color indexed="64"/>
      </bottom>
      <diagonal/>
    </border>
  </borders>
  <cellStyleXfs count="5">
    <xf numFmtId="0" fontId="0" fillId="0" borderId="0"/>
    <xf numFmtId="0" fontId="33" fillId="0" borderId="0"/>
    <xf numFmtId="0" fontId="95" fillId="0" borderId="0" applyNumberFormat="0" applyFill="0" applyBorder="0" applyAlignment="0" applyProtection="0"/>
    <xf numFmtId="0" fontId="96" fillId="0" borderId="0" applyNumberFormat="0" applyFill="0" applyBorder="0" applyAlignment="0" applyProtection="0"/>
    <xf numFmtId="0" fontId="119" fillId="0" borderId="0" applyNumberFormat="0" applyFill="0" applyBorder="0" applyAlignment="0" applyProtection="0">
      <alignment vertical="top"/>
      <protection locked="0"/>
    </xf>
  </cellStyleXfs>
  <cellXfs count="2067">
    <xf numFmtId="0" fontId="0" fillId="0" borderId="0" xfId="0"/>
    <xf numFmtId="0" fontId="6" fillId="0" borderId="1" xfId="0" applyFont="1" applyBorder="1" applyAlignment="1">
      <alignment horizontal="center" vertical="center"/>
    </xf>
    <xf numFmtId="0" fontId="4" fillId="0" borderId="0" xfId="0" applyFont="1" applyBorder="1" applyAlignment="1">
      <alignment vertical="center" wrapText="1"/>
    </xf>
    <xf numFmtId="0" fontId="0" fillId="0" borderId="0" xfId="0" applyBorder="1" applyAlignment="1">
      <alignment vertical="center"/>
    </xf>
    <xf numFmtId="0" fontId="3" fillId="0" borderId="0" xfId="0" applyFont="1" applyAlignment="1">
      <alignment horizontal="center" vertical="center"/>
    </xf>
    <xf numFmtId="0" fontId="8" fillId="0" borderId="0" xfId="0" applyFont="1" applyBorder="1" applyAlignment="1">
      <alignment vertical="center"/>
    </xf>
    <xf numFmtId="0" fontId="0" fillId="0" borderId="0" xfId="0" applyFont="1" applyBorder="1" applyAlignment="1">
      <alignment vertical="center"/>
    </xf>
    <xf numFmtId="0" fontId="16" fillId="0" borderId="0" xfId="0" applyFont="1" applyBorder="1" applyAlignment="1">
      <alignment horizontal="center" vertical="center"/>
    </xf>
    <xf numFmtId="2" fontId="16" fillId="0" borderId="0" xfId="0" applyNumberFormat="1" applyFont="1" applyBorder="1" applyAlignment="1">
      <alignment horizontal="center" vertical="center"/>
    </xf>
    <xf numFmtId="0" fontId="0" fillId="0" borderId="0" xfId="0" applyBorder="1"/>
    <xf numFmtId="0" fontId="0" fillId="0" borderId="0" xfId="0" applyBorder="1" applyAlignment="1">
      <alignment horizontal="center" vertical="center"/>
    </xf>
    <xf numFmtId="2" fontId="0" fillId="0" borderId="0" xfId="0" applyNumberFormat="1" applyBorder="1" applyAlignment="1">
      <alignment horizontal="center" vertical="center"/>
    </xf>
    <xf numFmtId="0" fontId="11" fillId="0" borderId="1" xfId="0" applyFont="1" applyBorder="1" applyAlignment="1">
      <alignment horizontal="center" vertical="center"/>
    </xf>
    <xf numFmtId="2" fontId="11" fillId="0" borderId="1" xfId="0" applyNumberFormat="1" applyFont="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0" fillId="0" borderId="0" xfId="0" applyFill="1" applyBorder="1" applyAlignment="1">
      <alignment vertical="center"/>
    </xf>
    <xf numFmtId="2" fontId="0" fillId="0" borderId="0" xfId="0" applyNumberFormat="1" applyFill="1" applyBorder="1" applyAlignment="1">
      <alignment horizontal="center" vertical="center"/>
    </xf>
    <xf numFmtId="2" fontId="0" fillId="0" borderId="0" xfId="0" applyNumberFormat="1" applyFill="1" applyBorder="1" applyAlignment="1">
      <alignment vertical="center"/>
    </xf>
    <xf numFmtId="0" fontId="0" fillId="0" borderId="0" xfId="0" applyAlignment="1">
      <alignment vertical="center"/>
    </xf>
    <xf numFmtId="0" fontId="0" fillId="0" borderId="0" xfId="0" applyAlignment="1">
      <alignment horizontal="center" vertical="center"/>
    </xf>
    <xf numFmtId="0" fontId="15" fillId="0" borderId="0" xfId="0" applyFont="1" applyBorder="1" applyAlignment="1">
      <alignment horizontal="center" vertical="center" wrapText="1"/>
    </xf>
    <xf numFmtId="2" fontId="5" fillId="0" borderId="0" xfId="0" applyNumberFormat="1" applyFont="1" applyFill="1" applyBorder="1" applyAlignment="1">
      <alignment vertical="center"/>
    </xf>
    <xf numFmtId="0" fontId="3" fillId="0" borderId="10" xfId="0" applyFont="1" applyBorder="1" applyAlignment="1">
      <alignment horizontal="center" vertical="center"/>
    </xf>
    <xf numFmtId="2" fontId="3" fillId="0" borderId="10" xfId="0" applyNumberFormat="1" applyFont="1" applyBorder="1" applyAlignment="1">
      <alignment horizontal="center" vertical="center"/>
    </xf>
    <xf numFmtId="2" fontId="0" fillId="0" borderId="0" xfId="0" applyNumberFormat="1" applyAlignment="1">
      <alignment vertical="center"/>
    </xf>
    <xf numFmtId="2" fontId="0" fillId="0" borderId="0" xfId="0" applyNumberFormat="1" applyBorder="1" applyAlignment="1">
      <alignment vertical="center"/>
    </xf>
    <xf numFmtId="2" fontId="8" fillId="0" borderId="1" xfId="0" applyNumberFormat="1" applyFont="1" applyBorder="1" applyAlignment="1">
      <alignment horizontal="center" vertical="center"/>
    </xf>
    <xf numFmtId="2" fontId="5"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xf>
    <xf numFmtId="0" fontId="8" fillId="0" borderId="0" xfId="0" applyFont="1" applyBorder="1" applyAlignment="1">
      <alignment horizontal="center" vertical="center"/>
    </xf>
    <xf numFmtId="0" fontId="1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xf>
    <xf numFmtId="2" fontId="8" fillId="0" borderId="0" xfId="0" applyNumberFormat="1" applyFont="1" applyFill="1" applyBorder="1" applyAlignment="1">
      <alignment horizontal="center" vertical="center"/>
    </xf>
    <xf numFmtId="0" fontId="6" fillId="0" borderId="0" xfId="0" applyFont="1" applyBorder="1" applyAlignment="1">
      <alignment vertical="center" textRotation="90"/>
    </xf>
    <xf numFmtId="0" fontId="10" fillId="0" borderId="0" xfId="0" applyFont="1" applyBorder="1" applyAlignment="1">
      <alignment horizontal="center" vertical="center"/>
    </xf>
    <xf numFmtId="0" fontId="9"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vertical="center" textRotation="90"/>
    </xf>
    <xf numFmtId="0" fontId="0" fillId="0" borderId="0" xfId="0" applyFont="1" applyBorder="1" applyAlignment="1">
      <alignment horizontal="center" vertical="center"/>
    </xf>
    <xf numFmtId="0" fontId="0" fillId="0" borderId="0" xfId="0" applyFill="1" applyBorder="1"/>
    <xf numFmtId="0" fontId="8" fillId="0" borderId="12" xfId="0" applyFont="1" applyBorder="1" applyAlignment="1">
      <alignment horizontal="left" vertical="center"/>
    </xf>
    <xf numFmtId="0" fontId="0" fillId="0" borderId="0" xfId="0" quotePrefix="1" applyNumberFormat="1" applyBorder="1" applyAlignment="1">
      <alignment horizontal="center"/>
    </xf>
    <xf numFmtId="0" fontId="3" fillId="0" borderId="0" xfId="0" applyFont="1" applyFill="1" applyBorder="1" applyAlignment="1">
      <alignment vertical="center" textRotation="90"/>
    </xf>
    <xf numFmtId="2" fontId="10" fillId="0" borderId="0" xfId="0" applyNumberFormat="1" applyFont="1" applyBorder="1" applyAlignment="1">
      <alignment horizontal="center" vertical="center"/>
    </xf>
    <xf numFmtId="2" fontId="0" fillId="0" borderId="0" xfId="0" applyNumberFormat="1" applyFont="1" applyBorder="1" applyAlignment="1">
      <alignment vertical="center"/>
    </xf>
    <xf numFmtId="0" fontId="14" fillId="0" borderId="10" xfId="0" applyFont="1" applyFill="1" applyBorder="1" applyAlignment="1">
      <alignment horizontal="center" vertical="center"/>
    </xf>
    <xf numFmtId="0" fontId="8" fillId="0" borderId="12" xfId="0" applyFont="1" applyFill="1" applyBorder="1" applyAlignment="1">
      <alignment horizontal="center" vertical="center"/>
    </xf>
    <xf numFmtId="2" fontId="0" fillId="0" borderId="1" xfId="0" applyNumberFormat="1" applyBorder="1" applyAlignment="1">
      <alignment horizontal="center" vertical="center"/>
    </xf>
    <xf numFmtId="0" fontId="0" fillId="0" borderId="0" xfId="0" applyAlignment="1">
      <alignment horizontal="center"/>
    </xf>
    <xf numFmtId="2" fontId="0" fillId="0" borderId="0" xfId="0" applyNumberFormat="1" applyAlignment="1">
      <alignment horizontal="center" vertical="center"/>
    </xf>
    <xf numFmtId="2" fontId="9"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2" fontId="0" fillId="0" borderId="0" xfId="0" applyNumberFormat="1" applyAlignment="1">
      <alignment horizontal="center"/>
    </xf>
    <xf numFmtId="2" fontId="0" fillId="0" borderId="4" xfId="0" applyNumberFormat="1" applyFont="1" applyBorder="1" applyAlignment="1">
      <alignment horizontal="center" vertical="center"/>
    </xf>
    <xf numFmtId="2" fontId="19" fillId="0" borderId="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3" fillId="0" borderId="0" xfId="0" applyNumberFormat="1" applyFont="1" applyBorder="1" applyAlignment="1">
      <alignment horizontal="center" vertical="center"/>
    </xf>
    <xf numFmtId="2" fontId="0" fillId="0" borderId="8" xfId="0" applyNumberFormat="1" applyFont="1" applyBorder="1" applyAlignment="1">
      <alignment horizontal="center" vertical="center"/>
    </xf>
    <xf numFmtId="0" fontId="8" fillId="0" borderId="1" xfId="0" applyFont="1" applyBorder="1" applyAlignment="1">
      <alignment horizontal="center" vertical="center"/>
    </xf>
    <xf numFmtId="2" fontId="0" fillId="0" borderId="0" xfId="0" applyNumberFormat="1" applyFont="1" applyFill="1" applyBorder="1" applyAlignment="1">
      <alignment horizontal="center" vertical="center"/>
    </xf>
    <xf numFmtId="2" fontId="15" fillId="0" borderId="0" xfId="0" applyNumberFormat="1" applyFont="1" applyFill="1" applyBorder="1" applyAlignment="1">
      <alignment horizontal="center" vertical="center"/>
    </xf>
    <xf numFmtId="2" fontId="0" fillId="0" borderId="1" xfId="0" applyNumberFormat="1" applyBorder="1" applyAlignment="1">
      <alignment horizontal="center"/>
    </xf>
    <xf numFmtId="0" fontId="18" fillId="0" borderId="0" xfId="0" applyFont="1" applyFill="1" applyBorder="1" applyAlignment="1">
      <alignment horizontal="center" vertical="center"/>
    </xf>
    <xf numFmtId="2" fontId="41"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0" xfId="0" applyFont="1" applyBorder="1" applyAlignment="1">
      <alignment vertical="center"/>
    </xf>
    <xf numFmtId="0" fontId="0" fillId="0" borderId="12" xfId="0" applyFont="1" applyBorder="1" applyAlignment="1">
      <alignment vertical="center"/>
    </xf>
    <xf numFmtId="2" fontId="7" fillId="0" borderId="3" xfId="0" applyNumberFormat="1" applyFont="1" applyFill="1" applyBorder="1" applyAlignment="1">
      <alignment horizontal="center" vertical="center"/>
    </xf>
    <xf numFmtId="2" fontId="7" fillId="0" borderId="2" xfId="0" applyNumberFormat="1" applyFont="1" applyFill="1" applyBorder="1" applyAlignment="1">
      <alignment horizontal="center" vertical="center" wrapText="1"/>
    </xf>
    <xf numFmtId="2" fontId="7" fillId="0" borderId="7" xfId="0" applyNumberFormat="1" applyFont="1" applyFill="1" applyBorder="1" applyAlignment="1">
      <alignment horizontal="center" vertical="center"/>
    </xf>
    <xf numFmtId="0" fontId="9" fillId="0" borderId="0" xfId="0" applyFont="1" applyBorder="1" applyAlignment="1">
      <alignment horizontal="center" vertical="center"/>
    </xf>
    <xf numFmtId="0" fontId="8" fillId="0" borderId="11" xfId="0" applyFont="1" applyBorder="1" applyAlignment="1">
      <alignment horizontal="center" vertical="center"/>
    </xf>
    <xf numFmtId="0" fontId="0" fillId="0" borderId="13" xfId="0" applyBorder="1" applyAlignment="1">
      <alignment horizontal="center"/>
    </xf>
    <xf numFmtId="0" fontId="0" fillId="0" borderId="15" xfId="0" applyBorder="1" applyAlignment="1">
      <alignment horizontal="center"/>
    </xf>
    <xf numFmtId="2" fontId="8" fillId="0" borderId="11" xfId="0" applyNumberFormat="1" applyFont="1" applyBorder="1" applyAlignment="1">
      <alignment horizontal="center" vertical="center"/>
    </xf>
    <xf numFmtId="2" fontId="8" fillId="0" borderId="12" xfId="0" applyNumberFormat="1" applyFont="1" applyBorder="1" applyAlignment="1">
      <alignment horizontal="center" vertical="center"/>
    </xf>
    <xf numFmtId="0" fontId="9" fillId="0" borderId="1" xfId="0" applyFont="1" applyBorder="1" applyAlignment="1">
      <alignment horizontal="center" vertical="center"/>
    </xf>
    <xf numFmtId="2" fontId="0" fillId="0" borderId="10" xfId="0" applyNumberFormat="1" applyFont="1" applyBorder="1" applyAlignment="1">
      <alignment horizontal="center" vertical="center"/>
    </xf>
    <xf numFmtId="2" fontId="0" fillId="0" borderId="11" xfId="0" applyNumberFormat="1" applyFont="1" applyBorder="1" applyAlignment="1">
      <alignment horizontal="center" vertical="center"/>
    </xf>
    <xf numFmtId="2" fontId="0" fillId="0" borderId="12" xfId="0" applyNumberFormat="1" applyFont="1" applyBorder="1" applyAlignment="1">
      <alignment horizontal="center" vertical="center"/>
    </xf>
    <xf numFmtId="2" fontId="0" fillId="0" borderId="1" xfId="0" applyNumberFormat="1" applyFont="1" applyBorder="1" applyAlignment="1">
      <alignment horizontal="center" vertical="center"/>
    </xf>
    <xf numFmtId="0" fontId="0" fillId="0" borderId="1" xfId="0" applyBorder="1" applyAlignment="1">
      <alignment horizontal="center"/>
    </xf>
    <xf numFmtId="2" fontId="0" fillId="0" borderId="1" xfId="0" applyNumberFormat="1" applyFont="1" applyFill="1" applyBorder="1" applyAlignment="1">
      <alignment horizontal="center" vertical="center"/>
    </xf>
    <xf numFmtId="0" fontId="5" fillId="0" borderId="0" xfId="0" applyFont="1" applyAlignment="1">
      <alignment horizontal="center" vertical="center"/>
    </xf>
    <xf numFmtId="2" fontId="5" fillId="0" borderId="0" xfId="0" applyNumberFormat="1" applyFont="1" applyAlignment="1">
      <alignment horizontal="center" vertical="center"/>
    </xf>
    <xf numFmtId="2" fontId="6" fillId="6" borderId="5" xfId="0" applyNumberFormat="1" applyFont="1" applyFill="1" applyBorder="1" applyAlignment="1">
      <alignment horizontal="center" vertical="center"/>
    </xf>
    <xf numFmtId="2" fontId="6" fillId="6" borderId="10" xfId="0" applyNumberFormat="1" applyFont="1" applyFill="1" applyBorder="1" applyAlignment="1">
      <alignment horizontal="center" vertical="center"/>
    </xf>
    <xf numFmtId="2" fontId="43" fillId="6" borderId="10" xfId="0" applyNumberFormat="1" applyFont="1" applyFill="1" applyBorder="1" applyAlignment="1">
      <alignment horizontal="center" vertical="center"/>
    </xf>
    <xf numFmtId="2" fontId="8" fillId="6" borderId="9" xfId="0" applyNumberFormat="1" applyFont="1" applyFill="1" applyBorder="1" applyAlignment="1">
      <alignment horizontal="center" vertical="center"/>
    </xf>
    <xf numFmtId="2" fontId="8" fillId="6" borderId="12"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2" fontId="6" fillId="5" borderId="1" xfId="0" applyNumberFormat="1" applyFont="1" applyFill="1" applyBorder="1" applyAlignment="1">
      <alignment horizontal="center" vertical="center"/>
    </xf>
    <xf numFmtId="0" fontId="3" fillId="0" borderId="0" xfId="0" applyFont="1" applyAlignment="1">
      <alignment horizontal="center" vertical="center"/>
    </xf>
    <xf numFmtId="2" fontId="6" fillId="6"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2" fontId="5" fillId="6" borderId="1" xfId="0" applyNumberFormat="1" applyFont="1" applyFill="1" applyBorder="1" applyAlignment="1">
      <alignment horizontal="center" vertical="center"/>
    </xf>
    <xf numFmtId="2" fontId="43" fillId="5" borderId="10" xfId="0" applyNumberFormat="1" applyFont="1" applyFill="1" applyBorder="1" applyAlignment="1">
      <alignment horizontal="center" vertical="center"/>
    </xf>
    <xf numFmtId="2" fontId="8" fillId="5" borderId="12" xfId="0" applyNumberFormat="1" applyFont="1" applyFill="1" applyBorder="1" applyAlignment="1">
      <alignment horizontal="center" vertical="center"/>
    </xf>
    <xf numFmtId="0" fontId="5" fillId="6" borderId="1" xfId="0" applyFont="1" applyFill="1" applyBorder="1" applyAlignment="1">
      <alignment horizontal="center" vertical="center"/>
    </xf>
    <xf numFmtId="1" fontId="5" fillId="0" borderId="1" xfId="0" applyNumberFormat="1"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4" fillId="0" borderId="0"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0" fillId="0" borderId="10" xfId="0" applyBorder="1" applyAlignment="1">
      <alignment horizontal="center" vertical="center"/>
    </xf>
    <xf numFmtId="0" fontId="6" fillId="5" borderId="10"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15" xfId="0" applyFont="1" applyFill="1" applyBorder="1" applyAlignment="1">
      <alignment horizontal="center" vertical="center"/>
    </xf>
    <xf numFmtId="2" fontId="5" fillId="6" borderId="12" xfId="0" applyNumberFormat="1" applyFont="1" applyFill="1" applyBorder="1" applyAlignment="1">
      <alignment horizontal="center" vertical="center"/>
    </xf>
    <xf numFmtId="2" fontId="6" fillId="5" borderId="10" xfId="0" applyNumberFormat="1" applyFont="1" applyFill="1" applyBorder="1" applyAlignment="1">
      <alignment horizontal="center" vertical="center"/>
    </xf>
    <xf numFmtId="0" fontId="27" fillId="4" borderId="12" xfId="0" applyFont="1" applyFill="1" applyBorder="1" applyAlignment="1">
      <alignment horizontal="center" vertical="center"/>
    </xf>
    <xf numFmtId="0" fontId="0" fillId="0" borderId="13" xfId="0" applyBorder="1" applyAlignment="1"/>
    <xf numFmtId="0" fontId="0" fillId="0" borderId="15" xfId="0" applyBorder="1" applyAlignment="1"/>
    <xf numFmtId="2" fontId="7" fillId="0" borderId="0" xfId="0" applyNumberFormat="1" applyFont="1" applyFill="1" applyBorder="1" applyAlignment="1">
      <alignment horizontal="center" vertical="center"/>
    </xf>
    <xf numFmtId="2" fontId="7" fillId="0" borderId="0" xfId="0" applyNumberFormat="1" applyFont="1" applyFill="1" applyBorder="1" applyAlignment="1">
      <alignment horizontal="center" vertical="center" wrapText="1"/>
    </xf>
    <xf numFmtId="0" fontId="41" fillId="0" borderId="0" xfId="0" applyFont="1" applyBorder="1" applyAlignment="1">
      <alignment vertical="center"/>
    </xf>
    <xf numFmtId="2" fontId="41" fillId="0" borderId="0" xfId="0" applyNumberFormat="1" applyFont="1" applyFill="1" applyBorder="1" applyAlignment="1">
      <alignment vertical="center"/>
    </xf>
    <xf numFmtId="2" fontId="42" fillId="0" borderId="0" xfId="1" applyNumberFormat="1" applyFont="1" applyFill="1" applyBorder="1" applyAlignment="1">
      <alignment vertical="center" wrapText="1"/>
    </xf>
    <xf numFmtId="2" fontId="0" fillId="0" borderId="1" xfId="0" applyNumberFormat="1" applyBorder="1" applyAlignment="1">
      <alignment horizontal="center" vertical="center"/>
    </xf>
    <xf numFmtId="0" fontId="0" fillId="0" borderId="0" xfId="0" applyBorder="1" applyAlignment="1">
      <alignment horizontal="center" vertical="center"/>
    </xf>
    <xf numFmtId="0" fontId="20" fillId="0" borderId="0" xfId="0" applyFont="1" applyBorder="1"/>
    <xf numFmtId="0" fontId="3" fillId="0" borderId="0" xfId="0" applyFont="1" applyBorder="1"/>
    <xf numFmtId="0" fontId="0" fillId="0" borderId="0" xfId="0" applyFill="1"/>
    <xf numFmtId="0" fontId="0" fillId="0" borderId="1" xfId="0" applyBorder="1" applyAlignment="1">
      <alignment horizontal="center" vertical="center"/>
    </xf>
    <xf numFmtId="2" fontId="6" fillId="0" borderId="0" xfId="0" applyNumberFormat="1" applyFont="1" applyBorder="1" applyAlignment="1">
      <alignment horizontal="center" vertical="center"/>
    </xf>
    <xf numFmtId="0" fontId="26" fillId="4" borderId="12" xfId="0" applyFont="1" applyFill="1" applyBorder="1" applyAlignment="1">
      <alignment horizontal="center" vertical="center"/>
    </xf>
    <xf numFmtId="0" fontId="6" fillId="0" borderId="0" xfId="0" applyFont="1" applyAlignment="1">
      <alignment horizontal="center" vertical="center"/>
    </xf>
    <xf numFmtId="2" fontId="19" fillId="0" borderId="0" xfId="0" applyNumberFormat="1" applyFont="1" applyFill="1" applyBorder="1" applyAlignment="1">
      <alignment horizontal="center" vertical="center"/>
    </xf>
    <xf numFmtId="2" fontId="49" fillId="0" borderId="1" xfId="0" applyNumberFormat="1" applyFont="1" applyFill="1" applyBorder="1" applyAlignment="1">
      <alignment horizontal="center" vertical="center"/>
    </xf>
    <xf numFmtId="2" fontId="5" fillId="0" borderId="11" xfId="0" applyNumberFormat="1" applyFont="1" applyFill="1" applyBorder="1" applyAlignment="1">
      <alignment horizontal="center" vertical="center"/>
    </xf>
    <xf numFmtId="0" fontId="5" fillId="0" borderId="0" xfId="0" applyFont="1" applyBorder="1" applyAlignment="1">
      <alignment horizontal="center" vertical="center"/>
    </xf>
    <xf numFmtId="2" fontId="5" fillId="0" borderId="0" xfId="0" applyNumberFormat="1" applyFont="1" applyBorder="1" applyAlignment="1">
      <alignment horizontal="center" vertical="center"/>
    </xf>
    <xf numFmtId="2" fontId="5" fillId="0" borderId="1" xfId="0" applyNumberFormat="1" applyFont="1" applyBorder="1" applyAlignment="1">
      <alignment horizontal="center" vertical="center"/>
    </xf>
    <xf numFmtId="0" fontId="27" fillId="4" borderId="10" xfId="0" applyFont="1" applyFill="1" applyBorder="1" applyAlignment="1">
      <alignment horizontal="center" vertical="center"/>
    </xf>
    <xf numFmtId="0" fontId="5" fillId="0" borderId="12" xfId="0" applyFont="1" applyBorder="1" applyAlignment="1">
      <alignment horizontal="center" vertical="center"/>
    </xf>
    <xf numFmtId="2" fontId="5" fillId="0" borderId="12" xfId="0" applyNumberFormat="1" applyFont="1" applyFill="1" applyBorder="1" applyAlignment="1">
      <alignment horizontal="center" vertical="center"/>
    </xf>
    <xf numFmtId="0" fontId="5" fillId="0" borderId="11" xfId="0" applyFont="1" applyBorder="1" applyAlignment="1">
      <alignment horizontal="center" vertical="center"/>
    </xf>
    <xf numFmtId="2" fontId="5" fillId="0" borderId="12" xfId="0" applyNumberFormat="1" applyFont="1" applyBorder="1" applyAlignment="1">
      <alignment horizontal="center" vertical="center"/>
    </xf>
    <xf numFmtId="2" fontId="5" fillId="0" borderId="0" xfId="0" applyNumberFormat="1" applyFont="1" applyFill="1" applyBorder="1" applyAlignment="1">
      <alignment horizontal="center" vertical="center"/>
    </xf>
    <xf numFmtId="2" fontId="49" fillId="0" borderId="1" xfId="0" applyNumberFormat="1" applyFont="1" applyBorder="1" applyAlignment="1">
      <alignment horizontal="center" vertical="center"/>
    </xf>
    <xf numFmtId="2" fontId="5" fillId="0" borderId="3" xfId="0" applyNumberFormat="1" applyFont="1" applyBorder="1" applyAlignment="1">
      <alignment horizontal="center" vertical="center"/>
    </xf>
    <xf numFmtId="0" fontId="49" fillId="0" borderId="0" xfId="0" applyFont="1" applyFill="1" applyBorder="1" applyAlignment="1">
      <alignment horizontal="center" vertical="center"/>
    </xf>
    <xf numFmtId="2" fontId="49" fillId="0" borderId="0" xfId="0" applyNumberFormat="1" applyFont="1" applyFill="1" applyBorder="1" applyAlignment="1">
      <alignment horizontal="center" vertical="center"/>
    </xf>
    <xf numFmtId="0" fontId="6" fillId="0" borderId="1" xfId="0" applyFont="1" applyBorder="1" applyAlignment="1">
      <alignment horizontal="center" vertical="center"/>
    </xf>
    <xf numFmtId="0" fontId="5" fillId="0" borderId="5" xfId="0" applyFont="1" applyBorder="1" applyAlignment="1">
      <alignment horizontal="center" vertical="center"/>
    </xf>
    <xf numFmtId="2" fontId="3" fillId="0" borderId="10" xfId="0" applyNumberFormat="1" applyFont="1" applyBorder="1" applyAlignment="1">
      <alignment horizontal="center" vertical="center"/>
    </xf>
    <xf numFmtId="2" fontId="5" fillId="0" borderId="10" xfId="0" applyNumberFormat="1" applyFont="1" applyBorder="1" applyAlignment="1">
      <alignment horizontal="center" vertical="center"/>
    </xf>
    <xf numFmtId="11" fontId="5" fillId="0" borderId="1" xfId="0" applyNumberFormat="1" applyFont="1" applyBorder="1" applyAlignment="1">
      <alignment horizontal="center" vertical="center"/>
    </xf>
    <xf numFmtId="0" fontId="49" fillId="0" borderId="1" xfId="0" applyFont="1" applyBorder="1" applyAlignment="1">
      <alignment horizontal="center" vertical="center"/>
    </xf>
    <xf numFmtId="2" fontId="9" fillId="0" borderId="0" xfId="0" applyNumberFormat="1" applyFont="1" applyBorder="1" applyAlignment="1">
      <alignment horizontal="center" vertical="center" wrapText="1"/>
    </xf>
    <xf numFmtId="0" fontId="8" fillId="0" borderId="0" xfId="0" applyFont="1" applyAlignment="1">
      <alignment horizontal="center" vertical="center"/>
    </xf>
    <xf numFmtId="0" fontId="5" fillId="0" borderId="10" xfId="0" applyFont="1" applyBorder="1" applyAlignment="1">
      <alignment horizontal="center" vertical="center"/>
    </xf>
    <xf numFmtId="0" fontId="0" fillId="0" borderId="0" xfId="0" applyFill="1" applyAlignment="1">
      <alignment horizontal="center" vertical="center"/>
    </xf>
    <xf numFmtId="2" fontId="3" fillId="6" borderId="5" xfId="0" applyNumberFormat="1" applyFont="1" applyFill="1" applyBorder="1" applyAlignment="1">
      <alignment horizontal="center" vertical="center"/>
    </xf>
    <xf numFmtId="2" fontId="3" fillId="6" borderId="10" xfId="0"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0" fontId="0" fillId="0" borderId="0" xfId="0" applyAlignment="1"/>
    <xf numFmtId="0" fontId="0" fillId="0" borderId="0" xfId="0" applyBorder="1" applyAlignment="1">
      <alignment horizontal="center" vertical="center" textRotation="90"/>
    </xf>
    <xf numFmtId="2" fontId="42" fillId="0" borderId="0" xfId="1" applyNumberFormat="1" applyFont="1" applyFill="1" applyBorder="1" applyAlignment="1">
      <alignment horizontal="center" vertical="center" wrapText="1"/>
    </xf>
    <xf numFmtId="2" fontId="43" fillId="6" borderId="12" xfId="0" applyNumberFormat="1" applyFont="1" applyFill="1" applyBorder="1" applyAlignment="1">
      <alignment horizontal="center" vertical="center"/>
    </xf>
    <xf numFmtId="165" fontId="5" fillId="0" borderId="1" xfId="0" applyNumberFormat="1" applyFont="1" applyBorder="1" applyAlignment="1">
      <alignment horizontal="center" vertical="center"/>
    </xf>
    <xf numFmtId="0" fontId="8"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 xfId="0" applyFont="1" applyFill="1" applyBorder="1" applyAlignment="1">
      <alignment horizontal="center" vertical="center"/>
    </xf>
    <xf numFmtId="2" fontId="9" fillId="5" borderId="1" xfId="0" applyNumberFormat="1" applyFont="1" applyFill="1" applyBorder="1" applyAlignment="1">
      <alignment horizontal="center" vertical="center"/>
    </xf>
    <xf numFmtId="2" fontId="9" fillId="5" borderId="15" xfId="0" applyNumberFormat="1" applyFont="1" applyFill="1" applyBorder="1" applyAlignment="1">
      <alignment horizontal="center" vertical="center"/>
    </xf>
    <xf numFmtId="2" fontId="3" fillId="7" borderId="10" xfId="0" applyNumberFormat="1" applyFont="1" applyFill="1" applyBorder="1" applyAlignment="1">
      <alignment horizontal="center" vertical="center"/>
    </xf>
    <xf numFmtId="2" fontId="8" fillId="7" borderId="11" xfId="0" applyNumberFormat="1" applyFont="1" applyFill="1" applyBorder="1" applyAlignment="1">
      <alignment horizontal="center" vertical="center"/>
    </xf>
    <xf numFmtId="2" fontId="8" fillId="7" borderId="12" xfId="0" applyNumberFormat="1" applyFont="1" applyFill="1" applyBorder="1" applyAlignment="1">
      <alignment horizontal="center" vertical="center"/>
    </xf>
    <xf numFmtId="0" fontId="3" fillId="5" borderId="10" xfId="0" applyFont="1" applyFill="1" applyBorder="1" applyAlignment="1">
      <alignment horizontal="center" vertical="center"/>
    </xf>
    <xf numFmtId="2" fontId="3" fillId="7" borderId="5" xfId="0" applyNumberFormat="1" applyFont="1" applyFill="1" applyBorder="1" applyAlignment="1">
      <alignment horizontal="center" vertical="center"/>
    </xf>
    <xf numFmtId="0" fontId="3" fillId="7" borderId="0" xfId="0" applyFont="1" applyFill="1" applyAlignment="1">
      <alignment horizontal="center" vertical="center"/>
    </xf>
    <xf numFmtId="0" fontId="3" fillId="7" borderId="10" xfId="0" applyFont="1" applyFill="1" applyBorder="1" applyAlignment="1">
      <alignment horizontal="center" vertical="center"/>
    </xf>
    <xf numFmtId="2" fontId="8" fillId="7" borderId="9" xfId="0" applyNumberFormat="1" applyFont="1" applyFill="1" applyBorder="1" applyAlignment="1">
      <alignment horizontal="center" vertical="center"/>
    </xf>
    <xf numFmtId="2" fontId="43" fillId="7" borderId="10" xfId="0" applyNumberFormat="1" applyFont="1" applyFill="1" applyBorder="1" applyAlignment="1">
      <alignment horizontal="center" vertical="center"/>
    </xf>
    <xf numFmtId="2" fontId="43" fillId="7" borderId="5" xfId="0" applyNumberFormat="1" applyFont="1" applyFill="1" applyBorder="1" applyAlignment="1">
      <alignment horizontal="center" vertical="center"/>
    </xf>
    <xf numFmtId="2" fontId="3" fillId="7" borderId="1" xfId="0" applyNumberFormat="1" applyFont="1" applyFill="1" applyBorder="1" applyAlignment="1">
      <alignment horizontal="center" vertical="center"/>
    </xf>
    <xf numFmtId="2" fontId="9" fillId="7" borderId="15" xfId="0" applyNumberFormat="1" applyFont="1" applyFill="1" applyBorder="1" applyAlignment="1">
      <alignment horizontal="center" vertical="center"/>
    </xf>
    <xf numFmtId="2" fontId="9" fillId="7" borderId="1" xfId="0" applyNumberFormat="1" applyFont="1" applyFill="1" applyBorder="1" applyAlignment="1">
      <alignment horizontal="center" vertical="center"/>
    </xf>
    <xf numFmtId="0" fontId="8" fillId="7" borderId="12" xfId="0" applyFont="1" applyFill="1" applyBorder="1" applyAlignment="1">
      <alignment horizontal="center" vertical="center"/>
    </xf>
    <xf numFmtId="0" fontId="9" fillId="5" borderId="14" xfId="0" applyFont="1" applyFill="1" applyBorder="1" applyAlignment="1">
      <alignment horizontal="center" vertical="center"/>
    </xf>
    <xf numFmtId="2" fontId="3" fillId="7" borderId="3" xfId="0" applyNumberFormat="1" applyFont="1" applyFill="1" applyBorder="1" applyAlignment="1">
      <alignment horizontal="center" vertical="center"/>
    </xf>
    <xf numFmtId="2" fontId="8" fillId="7" borderId="7" xfId="0" applyNumberFormat="1" applyFont="1" applyFill="1" applyBorder="1" applyAlignment="1">
      <alignment horizontal="center" vertical="center"/>
    </xf>
    <xf numFmtId="0" fontId="3" fillId="7" borderId="0" xfId="0" applyFont="1" applyFill="1" applyBorder="1" applyAlignment="1">
      <alignment horizontal="center" vertical="center"/>
    </xf>
    <xf numFmtId="0" fontId="6" fillId="7" borderId="1" xfId="0" applyFont="1" applyFill="1" applyBorder="1" applyAlignment="1">
      <alignment horizontal="center" vertical="center"/>
    </xf>
    <xf numFmtId="0" fontId="18" fillId="7" borderId="1" xfId="0" applyFont="1" applyFill="1" applyBorder="1" applyAlignment="1">
      <alignment horizontal="center" vertical="center"/>
    </xf>
    <xf numFmtId="2" fontId="18" fillId="7" borderId="1" xfId="0" applyNumberFormat="1" applyFont="1" applyFill="1" applyBorder="1" applyAlignment="1">
      <alignment horizontal="center" vertical="center"/>
    </xf>
    <xf numFmtId="0" fontId="34" fillId="5" borderId="1" xfId="1" applyFont="1" applyFill="1" applyBorder="1" applyAlignment="1">
      <alignment horizontal="center" vertical="center"/>
    </xf>
    <xf numFmtId="2" fontId="34" fillId="5" borderId="1" xfId="1" applyNumberFormat="1" applyFont="1" applyFill="1" applyBorder="1" applyAlignment="1">
      <alignment horizontal="center" vertical="center"/>
    </xf>
    <xf numFmtId="2" fontId="34" fillId="5" borderId="15" xfId="1" applyNumberFormat="1" applyFont="1" applyFill="1" applyBorder="1" applyAlignment="1">
      <alignment horizontal="center" vertical="center"/>
    </xf>
    <xf numFmtId="166" fontId="34" fillId="5" borderId="1" xfId="1" applyNumberFormat="1" applyFont="1" applyFill="1" applyBorder="1" applyAlignment="1">
      <alignment horizontal="center" vertical="center"/>
    </xf>
    <xf numFmtId="2" fontId="34" fillId="5" borderId="1" xfId="1" applyNumberFormat="1" applyFont="1" applyFill="1" applyBorder="1" applyAlignment="1">
      <alignment horizontal="center" vertical="center" wrapText="1"/>
    </xf>
    <xf numFmtId="2" fontId="34" fillId="7" borderId="3" xfId="1" applyNumberFormat="1" applyFont="1" applyFill="1" applyBorder="1" applyAlignment="1">
      <alignment horizontal="center" vertical="center" wrapText="1"/>
    </xf>
    <xf numFmtId="2" fontId="34" fillId="7" borderId="10" xfId="1" applyNumberFormat="1" applyFont="1" applyFill="1" applyBorder="1" applyAlignment="1">
      <alignment horizontal="center" vertical="center" wrapText="1"/>
    </xf>
    <xf numFmtId="0" fontId="34" fillId="7" borderId="3" xfId="1" applyFont="1" applyFill="1" applyBorder="1" applyAlignment="1">
      <alignment horizontal="center" vertical="center" wrapText="1"/>
    </xf>
    <xf numFmtId="0" fontId="8" fillId="7" borderId="7" xfId="0" applyFont="1" applyFill="1" applyBorder="1" applyAlignment="1">
      <alignment horizontal="center" vertical="center"/>
    </xf>
    <xf numFmtId="166" fontId="8" fillId="7" borderId="7" xfId="0" applyNumberFormat="1" applyFont="1" applyFill="1" applyBorder="1" applyAlignment="1">
      <alignment horizontal="center" vertical="center"/>
    </xf>
    <xf numFmtId="0" fontId="6" fillId="5" borderId="13" xfId="0" applyFont="1" applyFill="1" applyBorder="1" applyAlignment="1">
      <alignment horizontal="center" vertical="center" wrapText="1"/>
    </xf>
    <xf numFmtId="0" fontId="6" fillId="0" borderId="1" xfId="0" applyFont="1" applyFill="1" applyBorder="1" applyAlignment="1">
      <alignment horizontal="center" vertical="center"/>
    </xf>
    <xf numFmtId="166" fontId="36" fillId="7" borderId="3" xfId="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2" fontId="42" fillId="0" borderId="0" xfId="0" applyNumberFormat="1" applyFont="1" applyFill="1" applyBorder="1" applyAlignment="1">
      <alignment horizontal="center" vertical="center"/>
    </xf>
    <xf numFmtId="2" fontId="70" fillId="7" borderId="10" xfId="1" applyNumberFormat="1" applyFont="1" applyFill="1" applyBorder="1" applyAlignment="1">
      <alignment horizontal="center" vertical="center" wrapText="1"/>
    </xf>
    <xf numFmtId="2" fontId="5" fillId="0" borderId="7" xfId="0" applyNumberFormat="1" applyFont="1" applyBorder="1" applyAlignment="1">
      <alignment horizontal="center" vertical="center"/>
    </xf>
    <xf numFmtId="0" fontId="34" fillId="7" borderId="10" xfId="1" applyFont="1" applyFill="1" applyBorder="1" applyAlignment="1">
      <alignment horizontal="center" vertical="center" wrapText="1"/>
    </xf>
    <xf numFmtId="2" fontId="28" fillId="7" borderId="10" xfId="0" applyNumberFormat="1" applyFont="1" applyFill="1" applyBorder="1" applyAlignment="1">
      <alignment horizontal="center" vertical="center"/>
    </xf>
    <xf numFmtId="2" fontId="70" fillId="7" borderId="5" xfId="1" applyNumberFormat="1" applyFont="1" applyFill="1" applyBorder="1" applyAlignment="1">
      <alignment horizontal="center" vertical="center" wrapText="1"/>
    </xf>
    <xf numFmtId="0" fontId="34" fillId="7" borderId="12" xfId="1" applyFont="1" applyFill="1" applyBorder="1" applyAlignment="1">
      <alignment horizontal="center" vertical="center" wrapText="1"/>
    </xf>
    <xf numFmtId="2" fontId="7" fillId="7" borderId="7" xfId="0" applyNumberFormat="1" applyFont="1" applyFill="1" applyBorder="1" applyAlignment="1">
      <alignment horizontal="center" vertical="center"/>
    </xf>
    <xf numFmtId="2" fontId="7" fillId="7" borderId="12" xfId="0" applyNumberFormat="1" applyFont="1" applyFill="1" applyBorder="1" applyAlignment="1">
      <alignment horizontal="center" vertical="center"/>
    </xf>
    <xf numFmtId="0" fontId="7" fillId="7" borderId="9" xfId="0" applyFont="1" applyFill="1" applyBorder="1" applyAlignment="1">
      <alignment horizontal="center" vertical="center"/>
    </xf>
    <xf numFmtId="2" fontId="5" fillId="0" borderId="2" xfId="0" applyNumberFormat="1" applyFont="1" applyBorder="1" applyAlignment="1">
      <alignment horizontal="center" vertical="center"/>
    </xf>
    <xf numFmtId="0" fontId="8" fillId="7" borderId="3" xfId="0" applyFont="1" applyFill="1" applyBorder="1" applyAlignment="1">
      <alignment horizontal="center" vertical="center"/>
    </xf>
    <xf numFmtId="0" fontId="8" fillId="7" borderId="2" xfId="0" applyFont="1" applyFill="1" applyBorder="1" applyAlignment="1">
      <alignment horizontal="center" vertical="center"/>
    </xf>
    <xf numFmtId="0" fontId="34" fillId="7" borderId="11" xfId="1" applyFont="1" applyFill="1" applyBorder="1" applyAlignment="1">
      <alignment horizontal="center" vertical="center" wrapText="1"/>
    </xf>
    <xf numFmtId="2" fontId="7" fillId="7" borderId="2" xfId="0" applyNumberFormat="1" applyFont="1" applyFill="1" applyBorder="1" applyAlignment="1">
      <alignment horizontal="center" vertical="center"/>
    </xf>
    <xf numFmtId="2" fontId="7" fillId="7" borderId="11" xfId="0" applyNumberFormat="1" applyFont="1" applyFill="1" applyBorder="1" applyAlignment="1">
      <alignment horizontal="center" vertical="center"/>
    </xf>
    <xf numFmtId="2" fontId="15" fillId="7" borderId="10" xfId="0" applyNumberFormat="1" applyFont="1" applyFill="1" applyBorder="1" applyAlignment="1">
      <alignment horizontal="center" vertical="center"/>
    </xf>
    <xf numFmtId="2" fontId="5" fillId="0" borderId="10" xfId="0" applyNumberFormat="1" applyFont="1" applyFill="1" applyBorder="1" applyAlignment="1">
      <alignment horizontal="center" vertical="center"/>
    </xf>
    <xf numFmtId="2" fontId="5" fillId="0" borderId="4" xfId="0" applyNumberFormat="1" applyFont="1" applyBorder="1" applyAlignment="1">
      <alignment horizontal="center" vertical="center"/>
    </xf>
    <xf numFmtId="2" fontId="5" fillId="0" borderId="8" xfId="0" applyNumberFormat="1" applyFont="1" applyBorder="1" applyAlignment="1">
      <alignment horizontal="center" vertical="center"/>
    </xf>
    <xf numFmtId="2" fontId="49" fillId="0" borderId="1" xfId="1" applyNumberFormat="1" applyFont="1" applyBorder="1" applyAlignment="1">
      <alignment horizontal="center" vertical="center" wrapText="1"/>
    </xf>
    <xf numFmtId="166" fontId="5" fillId="2" borderId="1" xfId="0" applyNumberFormat="1" applyFont="1" applyFill="1" applyBorder="1" applyAlignment="1">
      <alignment horizontal="center" vertical="center"/>
    </xf>
    <xf numFmtId="166" fontId="5" fillId="0" borderId="1" xfId="0" applyNumberFormat="1" applyFont="1" applyBorder="1" applyAlignment="1">
      <alignment horizontal="center" vertical="center"/>
    </xf>
    <xf numFmtId="2" fontId="5" fillId="0" borderId="8" xfId="0" applyNumberFormat="1" applyFont="1" applyFill="1" applyBorder="1" applyAlignment="1">
      <alignment horizontal="center" vertical="center"/>
    </xf>
    <xf numFmtId="2" fontId="5" fillId="0" borderId="14" xfId="0" applyNumberFormat="1" applyFont="1" applyBorder="1" applyAlignment="1">
      <alignment horizontal="center" vertical="center"/>
    </xf>
    <xf numFmtId="0" fontId="0" fillId="0" borderId="1" xfId="0" quotePrefix="1" applyNumberFormat="1" applyBorder="1" applyAlignment="1">
      <alignment horizontal="center" vertical="center"/>
    </xf>
    <xf numFmtId="0" fontId="8" fillId="0" borderId="0" xfId="0" applyFont="1" applyAlignment="1">
      <alignment vertical="center" wrapText="1"/>
    </xf>
    <xf numFmtId="0" fontId="8" fillId="0" borderId="8" xfId="0" applyFont="1" applyBorder="1" applyAlignment="1">
      <alignment vertical="center" wrapText="1"/>
    </xf>
    <xf numFmtId="0" fontId="53" fillId="0" borderId="0" xfId="0" applyFont="1" applyFill="1" applyBorder="1" applyAlignment="1">
      <alignment horizontal="center" vertical="center" wrapText="1"/>
    </xf>
    <xf numFmtId="0" fontId="28" fillId="5" borderId="3" xfId="0" applyFont="1" applyFill="1" applyBorder="1" applyAlignment="1">
      <alignment horizontal="center" vertical="center"/>
    </xf>
    <xf numFmtId="0" fontId="28" fillId="5" borderId="10" xfId="0" applyFont="1" applyFill="1" applyBorder="1" applyAlignment="1">
      <alignment horizontal="center" vertical="center"/>
    </xf>
    <xf numFmtId="0" fontId="73" fillId="5" borderId="10" xfId="0" applyFont="1" applyFill="1" applyBorder="1" applyAlignment="1">
      <alignment horizontal="center" vertical="center"/>
    </xf>
    <xf numFmtId="0" fontId="0" fillId="5" borderId="7" xfId="0" applyFill="1" applyBorder="1" applyAlignment="1">
      <alignment horizontal="center" vertical="center"/>
    </xf>
    <xf numFmtId="0" fontId="21" fillId="5" borderId="12" xfId="0" applyFont="1" applyFill="1" applyBorder="1" applyAlignment="1">
      <alignment horizontal="center" vertical="center"/>
    </xf>
    <xf numFmtId="0" fontId="0" fillId="5" borderId="12" xfId="0" applyFill="1" applyBorder="1" applyAlignment="1">
      <alignment horizontal="center" vertical="center"/>
    </xf>
    <xf numFmtId="0" fontId="11" fillId="0" borderId="0" xfId="0" applyFont="1" applyFill="1" applyBorder="1" applyAlignment="1">
      <alignment vertical="center" wrapText="1"/>
    </xf>
    <xf numFmtId="2" fontId="5" fillId="0" borderId="1" xfId="0" applyNumberFormat="1" applyFont="1" applyFill="1" applyBorder="1" applyAlignment="1">
      <alignment horizontal="center" vertical="center" wrapText="1"/>
    </xf>
    <xf numFmtId="0" fontId="51" fillId="0" borderId="0" xfId="0" applyFont="1" applyFill="1" applyBorder="1" applyAlignment="1">
      <alignment vertical="center"/>
    </xf>
    <xf numFmtId="0" fontId="43" fillId="0" borderId="1" xfId="0" applyFont="1" applyFill="1" applyBorder="1" applyAlignment="1">
      <alignment horizontal="center" vertical="center"/>
    </xf>
    <xf numFmtId="0" fontId="6" fillId="7" borderId="10" xfId="0" applyFont="1" applyFill="1" applyBorder="1" applyAlignment="1">
      <alignment horizontal="center" vertical="center"/>
    </xf>
    <xf numFmtId="166" fontId="5" fillId="0" borderId="0" xfId="0" applyNumberFormat="1" applyFont="1" applyBorder="1" applyAlignment="1">
      <alignment horizontal="center" vertical="center"/>
    </xf>
    <xf numFmtId="0" fontId="5" fillId="0" borderId="8" xfId="0" applyFont="1" applyBorder="1" applyAlignment="1">
      <alignment horizontal="center" vertical="center"/>
    </xf>
    <xf numFmtId="166" fontId="5" fillId="0" borderId="10" xfId="0" applyNumberFormat="1" applyFont="1" applyBorder="1" applyAlignment="1">
      <alignment horizontal="center" vertical="center"/>
    </xf>
    <xf numFmtId="166" fontId="5" fillId="0" borderId="11" xfId="0" applyNumberFormat="1" applyFont="1" applyBorder="1" applyAlignment="1">
      <alignment horizontal="center" vertical="center"/>
    </xf>
    <xf numFmtId="2" fontId="6" fillId="0" borderId="13" xfId="0" applyNumberFormat="1" applyFont="1" applyBorder="1" applyAlignment="1">
      <alignment horizontal="center" vertical="center"/>
    </xf>
    <xf numFmtId="2" fontId="6" fillId="0" borderId="7" xfId="0" applyNumberFormat="1" applyFont="1" applyBorder="1" applyAlignment="1">
      <alignment horizontal="center" vertical="center"/>
    </xf>
    <xf numFmtId="0" fontId="3" fillId="7" borderId="5" xfId="0" applyFont="1" applyFill="1" applyBorder="1" applyAlignment="1">
      <alignment horizontal="center" vertical="center"/>
    </xf>
    <xf numFmtId="1" fontId="5" fillId="0" borderId="12" xfId="0" applyNumberFormat="1" applyFont="1" applyBorder="1" applyAlignment="1">
      <alignment horizontal="center" vertical="center"/>
    </xf>
    <xf numFmtId="11" fontId="0" fillId="0" borderId="1" xfId="0" applyNumberFormat="1" applyBorder="1" applyAlignment="1">
      <alignment horizontal="center" vertical="center"/>
    </xf>
    <xf numFmtId="167" fontId="0" fillId="0" borderId="1" xfId="0" applyNumberFormat="1" applyBorder="1" applyAlignment="1">
      <alignment horizontal="center" vertical="center"/>
    </xf>
    <xf numFmtId="0" fontId="6" fillId="0" borderId="0" xfId="0" applyFont="1"/>
    <xf numFmtId="2" fontId="6" fillId="7" borderId="1" xfId="0" applyNumberFormat="1" applyFont="1" applyFill="1" applyBorder="1" applyAlignment="1">
      <alignment horizontal="center" vertical="center"/>
    </xf>
    <xf numFmtId="0" fontId="41" fillId="0" borderId="0" xfId="0" applyFont="1"/>
    <xf numFmtId="2" fontId="15" fillId="7" borderId="11" xfId="0" applyNumberFormat="1" applyFont="1" applyFill="1" applyBorder="1" applyAlignment="1">
      <alignment horizontal="center" vertical="center"/>
    </xf>
    <xf numFmtId="0" fontId="6" fillId="7" borderId="10" xfId="0" applyFont="1" applyFill="1"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6" fillId="5" borderId="15" xfId="0" applyFont="1" applyFill="1" applyBorder="1" applyAlignment="1">
      <alignment horizontal="center" vertical="center"/>
    </xf>
    <xf numFmtId="0" fontId="8" fillId="7" borderId="12" xfId="0" applyFont="1" applyFill="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8" fillId="7" borderId="11" xfId="0" applyFont="1" applyFill="1" applyBorder="1" applyAlignment="1">
      <alignment horizontal="center" vertical="center"/>
    </xf>
    <xf numFmtId="2" fontId="5" fillId="0" borderId="5" xfId="0" applyNumberFormat="1" applyFont="1" applyBorder="1" applyAlignment="1">
      <alignment horizontal="center" vertical="center"/>
    </xf>
    <xf numFmtId="2" fontId="5" fillId="0" borderId="6" xfId="0" applyNumberFormat="1" applyFont="1" applyBorder="1" applyAlignment="1">
      <alignment horizontal="center" vertical="center"/>
    </xf>
    <xf numFmtId="2" fontId="5" fillId="0" borderId="9" xfId="0" applyNumberFormat="1"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2"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7" borderId="1" xfId="0" applyFont="1" applyFill="1" applyBorder="1" applyAlignment="1">
      <alignment horizontal="center" vertical="center"/>
    </xf>
    <xf numFmtId="0" fontId="6" fillId="5" borderId="1" xfId="0" applyFont="1" applyFill="1" applyBorder="1" applyAlignment="1">
      <alignment horizontal="center" vertical="center"/>
    </xf>
    <xf numFmtId="2" fontId="5" fillId="0" borderId="14" xfId="0" applyNumberFormat="1"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vertical="center"/>
    </xf>
    <xf numFmtId="2" fontId="5" fillId="0" borderId="0" xfId="0" applyNumberFormat="1" applyFont="1" applyAlignment="1">
      <alignment vertical="center"/>
    </xf>
    <xf numFmtId="0" fontId="43" fillId="7" borderId="10" xfId="0" applyFont="1" applyFill="1" applyBorder="1" applyAlignment="1">
      <alignment horizontal="center" vertical="center"/>
    </xf>
    <xf numFmtId="0" fontId="46" fillId="7" borderId="1"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10" xfId="0" applyFont="1" applyFill="1" applyBorder="1" applyAlignment="1">
      <alignment horizontal="center"/>
    </xf>
    <xf numFmtId="0" fontId="7" fillId="7" borderId="12" xfId="0" applyFont="1" applyFill="1" applyBorder="1" applyAlignment="1">
      <alignment horizontal="center" vertical="center"/>
    </xf>
    <xf numFmtId="0" fontId="3" fillId="7" borderId="10" xfId="0" applyFont="1" applyFill="1" applyBorder="1" applyAlignment="1">
      <alignment horizontal="center"/>
    </xf>
    <xf numFmtId="0" fontId="0" fillId="7" borderId="12" xfId="0" applyFill="1" applyBorder="1" applyAlignment="1">
      <alignment horizontal="center" vertical="center"/>
    </xf>
    <xf numFmtId="0" fontId="5" fillId="0" borderId="4" xfId="0" applyFont="1" applyBorder="1" applyAlignment="1">
      <alignment horizontal="center" vertical="center"/>
    </xf>
    <xf numFmtId="0" fontId="7" fillId="7" borderId="11" xfId="0" applyFont="1" applyFill="1" applyBorder="1" applyAlignment="1">
      <alignment horizontal="center" vertical="center"/>
    </xf>
    <xf numFmtId="0" fontId="5" fillId="0" borderId="0" xfId="0" applyFont="1" applyFill="1" applyBorder="1" applyAlignment="1">
      <alignment horizontal="center" vertical="center"/>
    </xf>
    <xf numFmtId="0" fontId="86" fillId="0" borderId="0" xfId="0" applyFont="1" applyFill="1" applyBorder="1" applyAlignment="1"/>
    <xf numFmtId="0" fontId="87" fillId="0" borderId="0" xfId="0" applyFont="1" applyFill="1" applyBorder="1" applyAlignment="1">
      <alignment horizontal="center" vertical="center"/>
    </xf>
    <xf numFmtId="0" fontId="86" fillId="0" borderId="0" xfId="0" applyFont="1" applyFill="1" applyBorder="1" applyAlignment="1">
      <alignment horizontal="center"/>
    </xf>
    <xf numFmtId="1" fontId="49" fillId="0" borderId="12" xfId="0" applyNumberFormat="1" applyFont="1" applyBorder="1" applyAlignment="1" applyProtection="1">
      <alignment horizontal="center" vertical="center"/>
      <protection locked="0"/>
    </xf>
    <xf numFmtId="0" fontId="6" fillId="0" borderId="0" xfId="0" applyFont="1" applyFill="1" applyBorder="1" applyAlignment="1">
      <alignment horizontal="center" vertical="center" wrapText="1"/>
    </xf>
    <xf numFmtId="166" fontId="49" fillId="0" borderId="1" xfId="0" applyNumberFormat="1" applyFont="1" applyBorder="1" applyAlignment="1" applyProtection="1">
      <alignment horizontal="center" vertical="center"/>
      <protection locked="0"/>
    </xf>
    <xf numFmtId="1" fontId="49" fillId="0" borderId="1" xfId="0" applyNumberFormat="1" applyFont="1" applyBorder="1" applyAlignment="1" applyProtection="1">
      <alignment horizontal="center" vertical="center"/>
      <protection locked="0"/>
    </xf>
    <xf numFmtId="166" fontId="49" fillId="0" borderId="1" xfId="0" applyNumberFormat="1" applyFont="1" applyFill="1" applyBorder="1" applyAlignment="1" applyProtection="1">
      <alignment horizontal="center" vertical="center"/>
      <protection locked="0"/>
    </xf>
    <xf numFmtId="166" fontId="49" fillId="0" borderId="12" xfId="0" applyNumberFormat="1" applyFont="1" applyBorder="1" applyAlignment="1" applyProtection="1">
      <alignment horizontal="center" vertical="center"/>
      <protection locked="0"/>
    </xf>
    <xf numFmtId="0" fontId="87" fillId="0" borderId="1" xfId="0" applyFont="1" applyFill="1" applyBorder="1" applyAlignment="1">
      <alignment horizontal="center" vertical="center"/>
    </xf>
    <xf numFmtId="0" fontId="89" fillId="0" borderId="1" xfId="0" applyFont="1" applyFill="1" applyBorder="1" applyAlignment="1">
      <alignment horizontal="center"/>
    </xf>
    <xf numFmtId="0" fontId="8" fillId="7" borderId="3"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left" vertical="center"/>
    </xf>
    <xf numFmtId="0" fontId="8" fillId="0" borderId="1" xfId="0" applyFont="1" applyBorder="1" applyAlignment="1">
      <alignment horizontal="center" vertical="center"/>
    </xf>
    <xf numFmtId="0" fontId="5" fillId="2" borderId="1" xfId="0" applyFont="1" applyFill="1" applyBorder="1" applyAlignment="1">
      <alignment horizontal="center" vertical="center"/>
    </xf>
    <xf numFmtId="0" fontId="9" fillId="7" borderId="1" xfId="0" applyFont="1" applyFill="1" applyBorder="1" applyAlignment="1">
      <alignment horizontal="center" vertical="center"/>
    </xf>
    <xf numFmtId="0" fontId="43" fillId="7" borderId="11" xfId="0" applyFont="1" applyFill="1" applyBorder="1" applyAlignment="1">
      <alignment horizontal="center" vertical="center"/>
    </xf>
    <xf numFmtId="0" fontId="6" fillId="7" borderId="11" xfId="0" applyFont="1" applyFill="1" applyBorder="1" applyAlignment="1">
      <alignment horizontal="center" vertical="center"/>
    </xf>
    <xf numFmtId="0" fontId="89" fillId="2" borderId="1" xfId="0" applyFont="1" applyFill="1" applyBorder="1" applyAlignment="1">
      <alignment horizontal="center"/>
    </xf>
    <xf numFmtId="0" fontId="8" fillId="2" borderId="1" xfId="0" applyFont="1" applyFill="1" applyBorder="1" applyAlignment="1">
      <alignment horizontal="center" vertical="center"/>
    </xf>
    <xf numFmtId="0" fontId="0" fillId="0" borderId="0" xfId="0" applyFill="1" applyAlignment="1">
      <alignment vertical="center"/>
    </xf>
    <xf numFmtId="2" fontId="3" fillId="7" borderId="10" xfId="0" applyNumberFormat="1" applyFont="1" applyFill="1" applyBorder="1" applyAlignment="1">
      <alignment horizontal="center"/>
    </xf>
    <xf numFmtId="0" fontId="6" fillId="0" borderId="1" xfId="0" applyFont="1" applyBorder="1" applyAlignment="1">
      <alignment horizontal="center" vertical="center"/>
    </xf>
    <xf numFmtId="2" fontId="5" fillId="0" borderId="1" xfId="0" applyNumberFormat="1" applyFont="1" applyFill="1" applyBorder="1" applyAlignment="1">
      <alignment horizontal="center" vertical="center"/>
    </xf>
    <xf numFmtId="4" fontId="5" fillId="0" borderId="0" xfId="0" applyNumberFormat="1" applyFont="1" applyAlignment="1">
      <alignment horizontal="center" vertical="center"/>
    </xf>
    <xf numFmtId="4" fontId="5" fillId="0" borderId="3" xfId="0" applyNumberFormat="1" applyFont="1" applyBorder="1" applyAlignment="1">
      <alignment horizontal="center" vertical="center"/>
    </xf>
    <xf numFmtId="4" fontId="5" fillId="0" borderId="4" xfId="0" applyNumberFormat="1" applyFont="1" applyBorder="1" applyAlignment="1">
      <alignment horizontal="center" vertical="center"/>
    </xf>
    <xf numFmtId="4" fontId="5" fillId="0" borderId="7"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1" xfId="0" applyNumberFormat="1" applyFont="1" applyBorder="1" applyAlignment="1">
      <alignment horizontal="left" vertical="center"/>
    </xf>
    <xf numFmtId="4" fontId="6" fillId="0" borderId="1" xfId="0" applyNumberFormat="1" applyFont="1" applyBorder="1" applyAlignment="1">
      <alignment horizontal="left" vertical="center"/>
    </xf>
    <xf numFmtId="0" fontId="3" fillId="0" borderId="0" xfId="0" applyFont="1" applyBorder="1" applyAlignment="1">
      <alignment wrapText="1"/>
    </xf>
    <xf numFmtId="2" fontId="0" fillId="0" borderId="0" xfId="0" applyNumberFormat="1" applyFill="1" applyBorder="1" applyAlignment="1">
      <alignment horizontal="center"/>
    </xf>
    <xf numFmtId="0" fontId="6" fillId="0" borderId="1" xfId="0" applyFont="1" applyBorder="1" applyAlignment="1">
      <alignment horizontal="center" vertical="center"/>
    </xf>
    <xf numFmtId="2" fontId="5" fillId="3" borderId="1" xfId="0" applyNumberFormat="1" applyFont="1" applyFill="1" applyBorder="1" applyAlignment="1">
      <alignment horizontal="center" vertical="center"/>
    </xf>
    <xf numFmtId="0" fontId="0" fillId="0" borderId="0" xfId="0" applyBorder="1" applyAlignment="1">
      <alignment horizontal="center" vertical="center"/>
    </xf>
    <xf numFmtId="2" fontId="0" fillId="0" borderId="0" xfId="0" applyNumberFormat="1" applyBorder="1" applyAlignment="1">
      <alignment horizontal="center" vertical="center"/>
    </xf>
    <xf numFmtId="2" fontId="5" fillId="0" borderId="1" xfId="0" applyNumberFormat="1" applyFont="1" applyBorder="1" applyAlignment="1">
      <alignment horizontal="center" vertical="center"/>
    </xf>
    <xf numFmtId="2" fontId="18" fillId="7" borderId="13" xfId="0" applyNumberFormat="1" applyFont="1" applyFill="1" applyBorder="1" applyAlignment="1">
      <alignment horizontal="center" vertical="center"/>
    </xf>
    <xf numFmtId="2" fontId="5" fillId="0" borderId="15" xfId="0" applyNumberFormat="1" applyFont="1" applyBorder="1" applyAlignment="1">
      <alignment horizontal="center" vertical="center"/>
    </xf>
    <xf numFmtId="0" fontId="6"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5" fillId="3" borderId="1" xfId="0" applyFont="1" applyFill="1" applyBorder="1" applyAlignment="1">
      <alignment horizontal="center" vertical="center"/>
    </xf>
    <xf numFmtId="2" fontId="5" fillId="8" borderId="12" xfId="0" applyNumberFormat="1" applyFont="1" applyFill="1" applyBorder="1" applyAlignment="1">
      <alignment horizontal="center" vertical="center"/>
    </xf>
    <xf numFmtId="2" fontId="5" fillId="8" borderId="1" xfId="0" applyNumberFormat="1" applyFont="1" applyFill="1" applyBorder="1" applyAlignment="1">
      <alignment horizontal="center" vertical="center"/>
    </xf>
    <xf numFmtId="12" fontId="5" fillId="3" borderId="1" xfId="0" quotePrefix="1" applyNumberFormat="1" applyFont="1" applyFill="1" applyBorder="1" applyAlignment="1">
      <alignment horizontal="center" vertical="center"/>
    </xf>
    <xf numFmtId="0" fontId="97" fillId="0" borderId="0" xfId="0" applyFont="1" applyBorder="1" applyAlignment="1">
      <alignment horizontal="left" vertical="center"/>
    </xf>
    <xf numFmtId="0" fontId="27" fillId="4" borderId="17"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19" xfId="0" applyFont="1" applyFill="1" applyBorder="1" applyAlignment="1">
      <alignment horizontal="center" vertical="center"/>
    </xf>
    <xf numFmtId="2" fontId="9" fillId="5" borderId="19" xfId="0" applyNumberFormat="1" applyFont="1" applyFill="1" applyBorder="1" applyAlignment="1">
      <alignment horizontal="center" vertical="center"/>
    </xf>
    <xf numFmtId="2" fontId="9" fillId="5" borderId="20" xfId="0" applyNumberFormat="1" applyFont="1" applyFill="1" applyBorder="1" applyAlignment="1">
      <alignment horizontal="center" vertical="center"/>
    </xf>
    <xf numFmtId="0" fontId="9" fillId="5" borderId="21" xfId="0" applyFont="1" applyFill="1" applyBorder="1" applyAlignment="1">
      <alignment horizontal="center" vertical="center"/>
    </xf>
    <xf numFmtId="2" fontId="3" fillId="7" borderId="23" xfId="0" applyNumberFormat="1" applyFont="1" applyFill="1" applyBorder="1" applyAlignment="1">
      <alignment horizontal="center" vertical="center"/>
    </xf>
    <xf numFmtId="2" fontId="8" fillId="7" borderId="25" xfId="0" applyNumberFormat="1" applyFont="1" applyFill="1" applyBorder="1" applyAlignment="1">
      <alignment horizontal="center" vertical="center"/>
    </xf>
    <xf numFmtId="2" fontId="5" fillId="0" borderId="26" xfId="0" applyNumberFormat="1" applyFont="1" applyBorder="1" applyAlignment="1">
      <alignment horizontal="center" vertical="center"/>
    </xf>
    <xf numFmtId="2" fontId="5" fillId="0" borderId="30" xfId="0" applyNumberFormat="1" applyFont="1" applyBorder="1" applyAlignment="1">
      <alignment horizontal="center" vertical="center"/>
    </xf>
    <xf numFmtId="2" fontId="5" fillId="0" borderId="29" xfId="0" applyNumberFormat="1" applyFont="1" applyBorder="1" applyAlignment="1">
      <alignment horizontal="center" vertical="center"/>
    </xf>
    <xf numFmtId="0" fontId="98" fillId="0" borderId="0" xfId="0" applyFont="1"/>
    <xf numFmtId="2" fontId="18" fillId="7" borderId="31" xfId="0" applyNumberFormat="1" applyFont="1" applyFill="1" applyBorder="1" applyAlignment="1">
      <alignment horizontal="center" vertical="center"/>
    </xf>
    <xf numFmtId="2" fontId="49" fillId="0" borderId="29" xfId="0" applyNumberFormat="1" applyFont="1" applyBorder="1" applyAlignment="1">
      <alignment horizontal="center" vertical="center"/>
    </xf>
    <xf numFmtId="2" fontId="8" fillId="5" borderId="11" xfId="0" applyNumberFormat="1" applyFont="1" applyFill="1" applyBorder="1" applyAlignment="1">
      <alignment horizontal="center" vertical="center"/>
    </xf>
    <xf numFmtId="0" fontId="0" fillId="3" borderId="16" xfId="0" applyFill="1" applyBorder="1" applyAlignment="1">
      <alignment horizontal="center" vertical="center"/>
    </xf>
    <xf numFmtId="2" fontId="5" fillId="3" borderId="16" xfId="0" applyNumberFormat="1" applyFont="1" applyFill="1" applyBorder="1" applyAlignment="1">
      <alignment horizontal="center" vertical="center"/>
    </xf>
    <xf numFmtId="0" fontId="8" fillId="0" borderId="12" xfId="0" applyFont="1" applyBorder="1" applyAlignment="1">
      <alignment horizontal="center" vertical="center"/>
    </xf>
    <xf numFmtId="2" fontId="8" fillId="0" borderId="12" xfId="0" applyNumberFormat="1" applyFont="1" applyBorder="1" applyAlignment="1">
      <alignment horizontal="center" vertical="center"/>
    </xf>
    <xf numFmtId="2" fontId="5" fillId="0" borderId="1" xfId="0" applyNumberFormat="1" applyFont="1" applyBorder="1" applyAlignment="1">
      <alignment horizontal="center" vertical="center"/>
    </xf>
    <xf numFmtId="0" fontId="104" fillId="0" borderId="0" xfId="0" applyFont="1" applyFill="1" applyBorder="1" applyAlignment="1">
      <alignment horizontal="center" vertical="center"/>
    </xf>
    <xf numFmtId="2" fontId="104" fillId="0" borderId="0" xfId="0" applyNumberFormat="1" applyFont="1" applyFill="1" applyBorder="1" applyAlignment="1">
      <alignment horizontal="center" vertical="center"/>
    </xf>
    <xf numFmtId="0" fontId="99" fillId="0" borderId="0" xfId="0" applyFont="1" applyFill="1" applyBorder="1"/>
    <xf numFmtId="0" fontId="100" fillId="0" borderId="0" xfId="0" applyFont="1" applyFill="1" applyBorder="1" applyAlignment="1">
      <alignment horizontal="center" vertical="center"/>
    </xf>
    <xf numFmtId="2" fontId="100" fillId="0" borderId="0" xfId="0" applyNumberFormat="1" applyFont="1" applyFill="1" applyBorder="1" applyAlignment="1">
      <alignment horizontal="center" vertical="center"/>
    </xf>
    <xf numFmtId="2" fontId="102" fillId="0" borderId="0" xfId="0" applyNumberFormat="1" applyFont="1" applyFill="1" applyBorder="1" applyAlignment="1">
      <alignment horizontal="center" vertical="center"/>
    </xf>
    <xf numFmtId="2" fontId="101" fillId="0" borderId="0" xfId="0" applyNumberFormat="1" applyFont="1" applyFill="1" applyBorder="1" applyAlignment="1">
      <alignment horizontal="center" vertical="center"/>
    </xf>
    <xf numFmtId="2" fontId="104" fillId="0" borderId="0" xfId="0" applyNumberFormat="1" applyFont="1" applyFill="1" applyBorder="1" applyAlignment="1">
      <alignment horizontal="center"/>
    </xf>
    <xf numFmtId="1" fontId="5" fillId="0" borderId="32" xfId="0" applyNumberFormat="1" applyFont="1" applyFill="1" applyBorder="1" applyAlignment="1">
      <alignment horizontal="center" vertical="center"/>
    </xf>
    <xf numFmtId="1" fontId="5" fillId="0" borderId="33" xfId="0" applyNumberFormat="1" applyFont="1" applyFill="1" applyBorder="1" applyAlignment="1">
      <alignment horizontal="center" vertical="center"/>
    </xf>
    <xf numFmtId="1" fontId="5" fillId="0" borderId="34"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0" fontId="12" fillId="0" borderId="0" xfId="0" applyFont="1" applyBorder="1" applyAlignment="1">
      <alignment wrapText="1"/>
    </xf>
    <xf numFmtId="0" fontId="0" fillId="0" borderId="0" xfId="0" applyFont="1" applyFill="1" applyBorder="1" applyAlignment="1"/>
    <xf numFmtId="2" fontId="0" fillId="0" borderId="0" xfId="0" applyNumberFormat="1" applyFont="1" applyBorder="1" applyAlignment="1"/>
    <xf numFmtId="0" fontId="0" fillId="0" borderId="0" xfId="0" applyFont="1" applyBorder="1" applyAlignment="1"/>
    <xf numFmtId="2" fontId="6" fillId="0" borderId="0" xfId="0" applyNumberFormat="1" applyFont="1" applyFill="1" applyBorder="1" applyAlignment="1">
      <alignment horizontal="center" vertical="center"/>
    </xf>
    <xf numFmtId="0" fontId="9" fillId="0" borderId="0" xfId="0" applyFont="1" applyBorder="1" applyAlignment="1">
      <alignment horizontal="center" vertical="center"/>
    </xf>
    <xf numFmtId="0" fontId="0" fillId="0" borderId="4" xfId="0" applyBorder="1" applyAlignment="1">
      <alignment horizontal="center" vertical="center"/>
    </xf>
    <xf numFmtId="2" fontId="0" fillId="0" borderId="0" xfId="0" applyNumberFormat="1" applyBorder="1" applyAlignment="1">
      <alignment horizontal="center" vertical="center"/>
    </xf>
    <xf numFmtId="0" fontId="6" fillId="5" borderId="14" xfId="0" applyFont="1" applyFill="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6" fillId="0" borderId="0" xfId="0" applyFont="1" applyAlignment="1">
      <alignment horizontal="left" vertical="center"/>
    </xf>
    <xf numFmtId="166" fontId="5"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41" fillId="0" borderId="0" xfId="0" applyFont="1" applyFill="1" applyBorder="1" applyAlignment="1">
      <alignment horizontal="center" vertical="center" textRotation="90"/>
    </xf>
    <xf numFmtId="0" fontId="8" fillId="0" borderId="0" xfId="0" quotePrefix="1" applyFont="1" applyBorder="1" applyAlignment="1">
      <alignment horizontal="center" vertical="center"/>
    </xf>
    <xf numFmtId="0" fontId="2" fillId="0" borderId="0" xfId="0" applyFont="1" applyFill="1" applyBorder="1" applyAlignment="1">
      <alignment horizontal="center" vertical="center" textRotation="90"/>
    </xf>
    <xf numFmtId="0" fontId="39" fillId="0" borderId="4" xfId="0" applyFont="1" applyBorder="1" applyAlignment="1">
      <alignment horizontal="center" vertical="center"/>
    </xf>
    <xf numFmtId="0" fontId="18" fillId="9" borderId="1" xfId="0" applyFont="1" applyFill="1" applyBorder="1" applyAlignment="1">
      <alignment horizontal="center" vertical="center"/>
    </xf>
    <xf numFmtId="0" fontId="18" fillId="10" borderId="1"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0" fillId="0" borderId="0" xfId="0" applyBorder="1" applyAlignment="1">
      <alignment horizontal="center" vertical="center"/>
    </xf>
    <xf numFmtId="2" fontId="0" fillId="0" borderId="0" xfId="0" applyNumberForma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5" fillId="0" borderId="0" xfId="0" applyFont="1" applyFill="1" applyBorder="1" applyAlignment="1">
      <alignment horizontal="center" vertical="center"/>
    </xf>
    <xf numFmtId="0" fontId="104" fillId="0" borderId="0" xfId="0" applyFont="1" applyFill="1" applyBorder="1" applyAlignment="1">
      <alignment horizontal="center" vertical="center"/>
    </xf>
    <xf numFmtId="2" fontId="5" fillId="0" borderId="1" xfId="0" applyNumberFormat="1" applyFont="1" applyBorder="1" applyAlignment="1">
      <alignment horizontal="center" vertical="center"/>
    </xf>
    <xf numFmtId="2" fontId="6" fillId="0" borderId="1" xfId="0" applyNumberFormat="1" applyFont="1" applyBorder="1" applyAlignment="1">
      <alignment horizontal="left" vertical="center"/>
    </xf>
    <xf numFmtId="0" fontId="6" fillId="5" borderId="14" xfId="0" applyFont="1" applyFill="1" applyBorder="1" applyAlignment="1">
      <alignment horizontal="center" vertical="center"/>
    </xf>
    <xf numFmtId="2" fontId="0" fillId="0" borderId="0" xfId="0" applyNumberFormat="1" applyBorder="1" applyAlignment="1">
      <alignment horizontal="center" vertical="center"/>
    </xf>
    <xf numFmtId="0" fontId="1" fillId="0" borderId="5" xfId="0" quotePrefix="1" applyFont="1" applyBorder="1" applyAlignment="1">
      <alignment horizontal="center" vertical="center"/>
    </xf>
    <xf numFmtId="0" fontId="1" fillId="0" borderId="0" xfId="0" quotePrefix="1" applyFont="1" applyBorder="1" applyAlignment="1">
      <alignment horizontal="center" vertical="center"/>
    </xf>
    <xf numFmtId="0" fontId="1" fillId="0" borderId="6" xfId="0" quotePrefix="1" applyFont="1" applyBorder="1" applyAlignment="1">
      <alignment horizontal="center" vertical="center"/>
    </xf>
    <xf numFmtId="0" fontId="1" fillId="0" borderId="9" xfId="0" quotePrefix="1" applyFont="1" applyBorder="1" applyAlignment="1">
      <alignment horizontal="center" vertical="center"/>
    </xf>
    <xf numFmtId="0" fontId="39" fillId="0" borderId="0" xfId="0" applyFont="1" applyBorder="1" applyAlignment="1">
      <alignment horizontal="center" vertical="center"/>
    </xf>
    <xf numFmtId="2" fontId="15" fillId="0" borderId="0" xfId="0" applyNumberFormat="1" applyFont="1" applyFill="1" applyBorder="1" applyAlignment="1">
      <alignment vertical="center"/>
    </xf>
    <xf numFmtId="2" fontId="34" fillId="0" borderId="0" xfId="1" applyNumberFormat="1" applyFont="1" applyFill="1" applyBorder="1" applyAlignment="1">
      <alignment horizontal="center"/>
    </xf>
    <xf numFmtId="2" fontId="3" fillId="0" borderId="0" xfId="0" applyNumberFormat="1" applyFont="1" applyFill="1" applyBorder="1" applyAlignment="1">
      <alignment horizontal="center"/>
    </xf>
    <xf numFmtId="2" fontId="36" fillId="0" borderId="0" xfId="1" applyNumberFormat="1" applyFont="1" applyFill="1" applyBorder="1" applyAlignment="1">
      <alignment horizontal="center" vertical="center" wrapText="1"/>
    </xf>
    <xf numFmtId="2" fontId="8" fillId="0" borderId="0" xfId="0" applyNumberFormat="1" applyFont="1" applyFill="1" applyBorder="1" applyAlignment="1">
      <alignment horizontal="center"/>
    </xf>
    <xf numFmtId="0" fontId="0" fillId="0" borderId="0" xfId="0" applyFill="1" applyBorder="1" applyAlignment="1">
      <alignment horizontal="center"/>
    </xf>
    <xf numFmtId="2" fontId="0" fillId="0" borderId="0" xfId="0" applyNumberFormat="1" applyFill="1" applyBorder="1"/>
    <xf numFmtId="0" fontId="1" fillId="0" borderId="4" xfId="0" quotePrefix="1" applyFont="1" applyBorder="1" applyAlignment="1">
      <alignment horizontal="center" vertical="center"/>
    </xf>
    <xf numFmtId="0" fontId="1" fillId="0" borderId="8" xfId="0" quotePrefix="1" applyFont="1" applyBorder="1" applyAlignment="1">
      <alignment horizontal="center" vertical="center"/>
    </xf>
    <xf numFmtId="2" fontId="5" fillId="0" borderId="15" xfId="0" applyNumberFormat="1" applyFont="1" applyFill="1" applyBorder="1" applyAlignment="1">
      <alignment horizontal="center" vertical="center"/>
    </xf>
    <xf numFmtId="2" fontId="49" fillId="0" borderId="0" xfId="1" applyNumberFormat="1" applyFont="1" applyBorder="1" applyAlignment="1">
      <alignment horizontal="center" vertical="center" wrapText="1"/>
    </xf>
    <xf numFmtId="2" fontId="49" fillId="0" borderId="0" xfId="1" applyNumberFormat="1" applyFont="1" applyFill="1" applyBorder="1" applyAlignment="1">
      <alignment horizontal="center" vertical="center"/>
    </xf>
    <xf numFmtId="0" fontId="105" fillId="0" borderId="0" xfId="0" applyFont="1" applyFill="1" applyBorder="1" applyAlignment="1">
      <alignment vertical="center"/>
    </xf>
    <xf numFmtId="0" fontId="104" fillId="0" borderId="0" xfId="0" applyFont="1" applyFill="1" applyBorder="1" applyAlignment="1">
      <alignment vertical="center"/>
    </xf>
    <xf numFmtId="0" fontId="101" fillId="0" borderId="0" xfId="0" applyFont="1" applyFill="1" applyBorder="1" applyAlignment="1">
      <alignment vertical="center"/>
    </xf>
    <xf numFmtId="0" fontId="26" fillId="0" borderId="0" xfId="0" applyFont="1" applyFill="1" applyBorder="1" applyAlignment="1">
      <alignment vertical="center"/>
    </xf>
    <xf numFmtId="0" fontId="6" fillId="7" borderId="1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2" fontId="5" fillId="0" borderId="1" xfId="0" applyNumberFormat="1" applyFont="1" applyBorder="1" applyAlignment="1">
      <alignment horizontal="center" vertical="center"/>
    </xf>
    <xf numFmtId="0" fontId="18" fillId="7" borderId="10" xfId="0" applyFont="1" applyFill="1" applyBorder="1" applyAlignment="1">
      <alignment horizontal="center" vertical="center"/>
    </xf>
    <xf numFmtId="2" fontId="5" fillId="0" borderId="10" xfId="0" applyNumberFormat="1" applyFont="1" applyBorder="1" applyAlignment="1">
      <alignment horizontal="center" vertical="center"/>
    </xf>
    <xf numFmtId="2" fontId="0" fillId="0" borderId="0" xfId="0" applyNumberFormat="1" applyBorder="1" applyAlignment="1">
      <alignment horizontal="center" vertical="center"/>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8" fillId="0" borderId="10" xfId="0" applyNumberFormat="1" applyFont="1" applyBorder="1" applyAlignment="1">
      <alignment horizontal="center" vertical="center"/>
    </xf>
    <xf numFmtId="0" fontId="5" fillId="0" borderId="1" xfId="0" applyFont="1" applyBorder="1" applyAlignment="1">
      <alignment horizontal="center" vertical="center"/>
    </xf>
    <xf numFmtId="2" fontId="15" fillId="5" borderId="3" xfId="0" applyNumberFormat="1" applyFont="1" applyFill="1" applyBorder="1" applyAlignment="1">
      <alignment horizontal="center" vertical="center"/>
    </xf>
    <xf numFmtId="2" fontId="15" fillId="5" borderId="2" xfId="0" applyNumberFormat="1" applyFont="1" applyFill="1" applyBorder="1" applyAlignment="1">
      <alignment horizontal="center" vertical="center"/>
    </xf>
    <xf numFmtId="2" fontId="8" fillId="5" borderId="7" xfId="0" applyNumberFormat="1" applyFont="1" applyFill="1" applyBorder="1" applyAlignment="1">
      <alignment horizontal="center" vertical="center"/>
    </xf>
    <xf numFmtId="0" fontId="5" fillId="5" borderId="10" xfId="0" applyFont="1" applyFill="1" applyBorder="1" applyAlignment="1">
      <alignment horizontal="center" vertical="center"/>
    </xf>
    <xf numFmtId="2" fontId="5" fillId="0" borderId="4" xfId="0" applyNumberFormat="1" applyFont="1" applyBorder="1" applyAlignment="1">
      <alignment horizontal="center" vertical="center"/>
    </xf>
    <xf numFmtId="2" fontId="49" fillId="0" borderId="8" xfId="0" applyNumberFormat="1" applyFont="1" applyBorder="1" applyAlignment="1">
      <alignment horizontal="center" vertical="center"/>
    </xf>
    <xf numFmtId="0" fontId="1" fillId="0" borderId="3" xfId="0" quotePrefix="1" applyFont="1" applyBorder="1" applyAlignment="1">
      <alignment horizontal="left" vertical="center"/>
    </xf>
    <xf numFmtId="0" fontId="1" fillId="0" borderId="0" xfId="0" quotePrefix="1" applyFont="1" applyBorder="1" applyAlignment="1">
      <alignment horizontal="left" vertical="center"/>
    </xf>
    <xf numFmtId="0" fontId="1" fillId="0" borderId="2" xfId="0" quotePrefix="1" applyFont="1" applyBorder="1" applyAlignment="1">
      <alignment horizontal="left" vertical="center"/>
    </xf>
    <xf numFmtId="0" fontId="1" fillId="0" borderId="7" xfId="0" quotePrefix="1" applyFont="1" applyBorder="1" applyAlignment="1">
      <alignment horizontal="left" vertical="center"/>
    </xf>
    <xf numFmtId="0" fontId="1" fillId="0" borderId="6" xfId="0" quotePrefix="1" applyFont="1" applyBorder="1" applyAlignment="1">
      <alignment horizontal="left" vertical="center"/>
    </xf>
    <xf numFmtId="0" fontId="1" fillId="0" borderId="13" xfId="0" quotePrefix="1" applyFont="1" applyBorder="1" applyAlignment="1">
      <alignment horizontal="left" vertical="center"/>
    </xf>
    <xf numFmtId="0" fontId="1" fillId="0" borderId="15" xfId="0" quotePrefix="1" applyFont="1" applyBorder="1" applyAlignment="1">
      <alignment horizontal="left" vertical="center"/>
    </xf>
    <xf numFmtId="0" fontId="83" fillId="0" borderId="0" xfId="0" applyFont="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8" xfId="0" applyBorder="1" applyAlignment="1">
      <alignment vertical="center"/>
    </xf>
    <xf numFmtId="165" fontId="5" fillId="0" borderId="0" xfId="0" applyNumberFormat="1" applyFont="1" applyFill="1" applyBorder="1" applyAlignment="1">
      <alignment horizontal="center" vertical="center"/>
    </xf>
    <xf numFmtId="2" fontId="6" fillId="0" borderId="0" xfId="0" applyNumberFormat="1" applyFont="1" applyBorder="1" applyAlignment="1">
      <alignment horizontal="left" vertical="center"/>
    </xf>
    <xf numFmtId="2" fontId="6" fillId="0" borderId="14" xfId="0" applyNumberFormat="1" applyFont="1" applyBorder="1" applyAlignment="1">
      <alignment horizontal="left" vertical="center"/>
    </xf>
    <xf numFmtId="0" fontId="8" fillId="0" borderId="0" xfId="0" applyFont="1" applyBorder="1" applyAlignment="1">
      <alignment horizontal="left" vertical="center"/>
    </xf>
    <xf numFmtId="2" fontId="49" fillId="8" borderId="5" xfId="1" applyNumberFormat="1" applyFont="1" applyFill="1" applyBorder="1" applyAlignment="1">
      <alignment horizontal="center" vertical="center"/>
    </xf>
    <xf numFmtId="166" fontId="5" fillId="8" borderId="1" xfId="0" applyNumberFormat="1" applyFont="1" applyFill="1" applyBorder="1" applyAlignment="1">
      <alignment horizontal="center" vertical="center"/>
    </xf>
    <xf numFmtId="2" fontId="49" fillId="8" borderId="1" xfId="1" applyNumberFormat="1" applyFont="1" applyFill="1" applyBorder="1" applyAlignment="1">
      <alignment horizontal="center" vertical="center"/>
    </xf>
    <xf numFmtId="2" fontId="5" fillId="8" borderId="10" xfId="0" applyNumberFormat="1" applyFont="1" applyFill="1" applyBorder="1" applyAlignment="1">
      <alignment horizontal="center" vertical="center"/>
    </xf>
    <xf numFmtId="0" fontId="18" fillId="12" borderId="1" xfId="0" applyFont="1" applyFill="1" applyBorder="1" applyAlignment="1">
      <alignment horizontal="center" vertical="center"/>
    </xf>
    <xf numFmtId="2" fontId="5" fillId="0" borderId="3" xfId="0" applyNumberFormat="1" applyFont="1" applyFill="1" applyBorder="1" applyAlignment="1">
      <alignment horizontal="center" vertical="center"/>
    </xf>
    <xf numFmtId="2" fontId="5" fillId="0" borderId="2" xfId="0" applyNumberFormat="1" applyFont="1" applyFill="1" applyBorder="1" applyAlignment="1">
      <alignment horizontal="center" vertical="center"/>
    </xf>
    <xf numFmtId="2" fontId="5" fillId="0" borderId="7" xfId="0" applyNumberFormat="1" applyFont="1" applyFill="1" applyBorder="1" applyAlignment="1">
      <alignment horizontal="center" vertical="center"/>
    </xf>
    <xf numFmtId="0" fontId="6" fillId="0" borderId="12" xfId="0" applyFont="1" applyBorder="1" applyAlignment="1">
      <alignment horizontal="center" vertical="center"/>
    </xf>
    <xf numFmtId="0" fontId="6" fillId="0" borderId="4" xfId="0" applyFont="1" applyFill="1" applyBorder="1" applyAlignment="1">
      <alignment horizontal="center" vertical="center"/>
    </xf>
    <xf numFmtId="2" fontId="8" fillId="0" borderId="4" xfId="0" applyNumberFormat="1" applyFont="1" applyFill="1" applyBorder="1" applyAlignment="1">
      <alignment horizontal="center" vertical="center"/>
    </xf>
    <xf numFmtId="2" fontId="5" fillId="0" borderId="4" xfId="0" applyNumberFormat="1" applyFont="1" applyFill="1" applyBorder="1" applyAlignment="1">
      <alignment horizontal="center" vertical="center"/>
    </xf>
    <xf numFmtId="0" fontId="6" fillId="0" borderId="8" xfId="0" applyFont="1" applyFill="1" applyBorder="1" applyAlignment="1">
      <alignment horizontal="center" vertical="center"/>
    </xf>
    <xf numFmtId="2" fontId="8" fillId="0" borderId="8" xfId="0" applyNumberFormat="1" applyFont="1" applyFill="1" applyBorder="1" applyAlignment="1">
      <alignment horizontal="center" vertical="center"/>
    </xf>
    <xf numFmtId="0" fontId="104" fillId="0" borderId="8" xfId="0" applyFont="1" applyFill="1" applyBorder="1" applyAlignment="1">
      <alignment vertical="center"/>
    </xf>
    <xf numFmtId="0" fontId="105" fillId="0" borderId="8" xfId="0" applyFont="1" applyFill="1" applyBorder="1" applyAlignment="1">
      <alignment vertical="center"/>
    </xf>
    <xf numFmtId="0" fontId="104" fillId="0" borderId="8" xfId="0" applyFont="1" applyFill="1" applyBorder="1" applyAlignment="1">
      <alignment horizontal="center" vertical="center"/>
    </xf>
    <xf numFmtId="2" fontId="104" fillId="0" borderId="8"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5" fillId="0" borderId="13" xfId="0" applyFont="1" applyBorder="1" applyAlignment="1">
      <alignment horizontal="center" vertical="center"/>
    </xf>
    <xf numFmtId="0" fontId="5" fillId="0" borderId="4" xfId="0" applyFont="1" applyFill="1" applyBorder="1" applyAlignment="1">
      <alignment horizontal="center" vertical="center"/>
    </xf>
    <xf numFmtId="0" fontId="18" fillId="0" borderId="4" xfId="0" applyFont="1" applyFill="1" applyBorder="1" applyAlignment="1">
      <alignment horizontal="center" vertical="center"/>
    </xf>
    <xf numFmtId="0" fontId="0" fillId="0" borderId="2" xfId="0" applyBorder="1"/>
    <xf numFmtId="2" fontId="8" fillId="6" borderId="6" xfId="0" applyNumberFormat="1" applyFont="1" applyFill="1" applyBorder="1" applyAlignment="1">
      <alignment horizontal="center" vertical="center"/>
    </xf>
    <xf numFmtId="1" fontId="5" fillId="0" borderId="13" xfId="0" applyNumberFormat="1" applyFont="1" applyBorder="1" applyAlignment="1">
      <alignment horizontal="center" vertical="center"/>
    </xf>
    <xf numFmtId="0" fontId="41" fillId="0" borderId="8" xfId="0" applyFont="1" applyFill="1" applyBorder="1" applyAlignment="1">
      <alignment horizontal="center" vertical="center" textRotation="90"/>
    </xf>
    <xf numFmtId="0" fontId="18" fillId="0" borderId="8" xfId="0" applyFont="1" applyFill="1" applyBorder="1" applyAlignment="1">
      <alignment horizontal="center" vertical="center"/>
    </xf>
    <xf numFmtId="0" fontId="5" fillId="0" borderId="8" xfId="0" applyFont="1" applyFill="1" applyBorder="1" applyAlignment="1">
      <alignment horizontal="center" vertical="center"/>
    </xf>
    <xf numFmtId="165" fontId="5" fillId="0" borderId="8" xfId="0" applyNumberFormat="1" applyFont="1" applyFill="1" applyBorder="1" applyAlignment="1">
      <alignment horizontal="center" vertical="center"/>
    </xf>
    <xf numFmtId="0" fontId="0" fillId="0" borderId="8" xfId="0" applyFill="1" applyBorder="1" applyAlignment="1">
      <alignment horizontal="center" vertical="center"/>
    </xf>
    <xf numFmtId="165" fontId="5" fillId="0" borderId="15" xfId="0" applyNumberFormat="1" applyFont="1" applyBorder="1" applyAlignment="1">
      <alignment horizontal="center" vertical="center"/>
    </xf>
    <xf numFmtId="2" fontId="5" fillId="6"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0" fillId="0" borderId="0" xfId="0" applyBorder="1" applyAlignment="1">
      <alignment horizontal="center" vertical="center"/>
    </xf>
    <xf numFmtId="2" fontId="5" fillId="0" borderId="12"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2" xfId="0" applyNumberFormat="1" applyBorder="1" applyAlignment="1">
      <alignment horizontal="center" vertical="center"/>
    </xf>
    <xf numFmtId="2" fontId="0" fillId="0" borderId="0" xfId="0" applyNumberFormat="1" applyBorder="1" applyAlignment="1">
      <alignment horizontal="center" vertical="center"/>
    </xf>
    <xf numFmtId="0" fontId="6" fillId="0" borderId="12" xfId="0" applyFont="1" applyBorder="1" applyAlignment="1">
      <alignment horizontal="center" vertical="center"/>
    </xf>
    <xf numFmtId="2" fontId="5" fillId="0" borderId="13" xfId="0" applyNumberFormat="1" applyFont="1" applyBorder="1" applyAlignment="1">
      <alignment horizontal="center" vertical="center"/>
    </xf>
    <xf numFmtId="2" fontId="5" fillId="0" borderId="15" xfId="0" applyNumberFormat="1" applyFont="1" applyBorder="1" applyAlignment="1">
      <alignment horizontal="center" vertical="center"/>
    </xf>
    <xf numFmtId="2" fontId="15" fillId="0" borderId="0" xfId="0" applyNumberFormat="1" applyFont="1" applyFill="1" applyBorder="1" applyAlignment="1">
      <alignment horizontal="center" vertical="center" textRotation="90" wrapText="1"/>
    </xf>
    <xf numFmtId="0" fontId="0" fillId="0" borderId="4" xfId="0" applyBorder="1"/>
    <xf numFmtId="2" fontId="5" fillId="5" borderId="0" xfId="0" applyNumberFormat="1" applyFont="1" applyFill="1" applyBorder="1" applyAlignment="1">
      <alignment horizontal="right" vertical="center"/>
    </xf>
    <xf numFmtId="2" fontId="6" fillId="6" borderId="13" xfId="0" applyNumberFormat="1" applyFont="1" applyFill="1" applyBorder="1" applyAlignment="1">
      <alignment horizontal="center" vertical="center"/>
    </xf>
    <xf numFmtId="2" fontId="6" fillId="6" borderId="3" xfId="0" applyNumberFormat="1" applyFont="1" applyFill="1" applyBorder="1" applyAlignment="1">
      <alignment horizontal="center" vertical="center"/>
    </xf>
    <xf numFmtId="2" fontId="8" fillId="6" borderId="7" xfId="0" applyNumberFormat="1" applyFont="1" applyFill="1" applyBorder="1" applyAlignment="1">
      <alignment horizontal="center" vertical="center"/>
    </xf>
    <xf numFmtId="2" fontId="6" fillId="6" borderId="15"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2" fontId="6" fillId="0" borderId="4" xfId="0" applyNumberFormat="1" applyFont="1" applyFill="1" applyBorder="1" applyAlignment="1">
      <alignment horizontal="center" vertical="center"/>
    </xf>
    <xf numFmtId="0" fontId="15" fillId="0" borderId="0" xfId="0" applyFont="1" applyFill="1" applyBorder="1" applyAlignment="1">
      <alignment horizontal="center" vertical="center" textRotation="90"/>
    </xf>
    <xf numFmtId="0" fontId="56" fillId="0" borderId="0" xfId="0" applyFont="1" applyFill="1" applyBorder="1" applyAlignment="1">
      <alignment horizontal="center" vertical="center" wrapText="1"/>
    </xf>
    <xf numFmtId="2" fontId="5" fillId="14" borderId="1" xfId="0" applyNumberFormat="1" applyFont="1" applyFill="1" applyBorder="1" applyAlignment="1">
      <alignment horizontal="center" vertical="center"/>
    </xf>
    <xf numFmtId="1" fontId="5" fillId="14" borderId="1"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2" fontId="5" fillId="0" borderId="4" xfId="0" applyNumberFormat="1" applyFont="1" applyBorder="1" applyAlignment="1">
      <alignment horizontal="center" vertical="center"/>
    </xf>
    <xf numFmtId="2" fontId="5" fillId="0" borderId="14" xfId="0" applyNumberFormat="1" applyFont="1" applyBorder="1" applyAlignment="1">
      <alignment horizontal="center" vertical="center"/>
    </xf>
    <xf numFmtId="2" fontId="5" fillId="0" borderId="15" xfId="0" applyNumberFormat="1" applyFont="1" applyBorder="1" applyAlignment="1">
      <alignment horizontal="center" vertical="center"/>
    </xf>
    <xf numFmtId="2" fontId="6" fillId="0" borderId="0" xfId="0" applyNumberFormat="1" applyFont="1" applyAlignment="1">
      <alignment horizontal="left" vertical="center"/>
    </xf>
    <xf numFmtId="2" fontId="0" fillId="0" borderId="14" xfId="0" applyNumberFormat="1" applyBorder="1" applyAlignment="1">
      <alignment horizontal="center" vertical="center"/>
    </xf>
    <xf numFmtId="2" fontId="5" fillId="15" borderId="1" xfId="0" applyNumberFormat="1" applyFont="1" applyFill="1" applyBorder="1" applyAlignment="1">
      <alignment horizontal="center" vertical="center"/>
    </xf>
    <xf numFmtId="2" fontId="5" fillId="16" borderId="1" xfId="0" applyNumberFormat="1" applyFont="1" applyFill="1" applyBorder="1" applyAlignment="1">
      <alignment horizontal="center" vertical="center"/>
    </xf>
    <xf numFmtId="2" fontId="5" fillId="16" borderId="0" xfId="0" applyNumberFormat="1" applyFont="1" applyFill="1" applyAlignment="1">
      <alignment horizontal="center" vertical="center"/>
    </xf>
    <xf numFmtId="2" fontId="5" fillId="15" borderId="0" xfId="0" applyNumberFormat="1" applyFont="1" applyFill="1" applyAlignment="1">
      <alignment horizontal="center" vertical="center"/>
    </xf>
    <xf numFmtId="2" fontId="0" fillId="0" borderId="13" xfId="0" applyNumberFormat="1" applyFont="1" applyBorder="1" applyAlignment="1">
      <alignment horizontal="center" vertical="center"/>
    </xf>
    <xf numFmtId="0" fontId="48" fillId="0" borderId="0" xfId="0" applyFont="1" applyFill="1" applyBorder="1" applyAlignment="1">
      <alignment horizontal="center" vertical="center" wrapText="1"/>
    </xf>
    <xf numFmtId="2" fontId="5" fillId="17" borderId="1"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2" fontId="5" fillId="0" borderId="10"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0" fontId="18" fillId="0" borderId="0" xfId="0" applyFont="1" applyBorder="1" applyAlignment="1">
      <alignment vertical="center"/>
    </xf>
    <xf numFmtId="0" fontId="0" fillId="0" borderId="0" xfId="0"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2" fontId="6" fillId="6" borderId="12" xfId="0" applyNumberFormat="1" applyFont="1" applyFill="1" applyBorder="1" applyAlignment="1">
      <alignment horizontal="center" vertical="center"/>
    </xf>
    <xf numFmtId="0" fontId="48" fillId="0" borderId="4" xfId="0" applyFont="1" applyFill="1" applyBorder="1" applyAlignment="1">
      <alignment horizontal="center" vertical="center" wrapText="1"/>
    </xf>
    <xf numFmtId="2" fontId="6"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0" fontId="8" fillId="7" borderId="7" xfId="0" applyFont="1" applyFill="1" applyBorder="1" applyAlignment="1">
      <alignment horizontal="center" vertical="center"/>
    </xf>
    <xf numFmtId="2" fontId="8" fillId="7" borderId="7" xfId="0" applyNumberFormat="1" applyFont="1" applyFill="1" applyBorder="1" applyAlignment="1">
      <alignment horizontal="center" vertical="center"/>
    </xf>
    <xf numFmtId="0" fontId="6" fillId="5" borderId="1" xfId="0" applyFont="1" applyFill="1" applyBorder="1" applyAlignment="1">
      <alignment horizontal="center" vertical="center"/>
    </xf>
    <xf numFmtId="2" fontId="5" fillId="8" borderId="11" xfId="0" applyNumberFormat="1" applyFont="1" applyFill="1" applyBorder="1" applyAlignment="1">
      <alignment horizontal="center" vertical="center"/>
    </xf>
    <xf numFmtId="165" fontId="49" fillId="0" borderId="1" xfId="1" applyNumberFormat="1" applyFont="1" applyBorder="1" applyAlignment="1">
      <alignment horizontal="center" vertical="center" wrapText="1"/>
    </xf>
    <xf numFmtId="1" fontId="5" fillId="0" borderId="1" xfId="0" quotePrefix="1" applyNumberFormat="1"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6" fillId="0" borderId="0" xfId="0" applyFont="1" applyFill="1" applyBorder="1" applyAlignment="1">
      <alignment horizontal="center" vertical="center"/>
    </xf>
    <xf numFmtId="2" fontId="5" fillId="0" borderId="12" xfId="0" applyNumberFormat="1" applyFont="1" applyBorder="1" applyAlignment="1">
      <alignment horizontal="center" vertical="center"/>
    </xf>
    <xf numFmtId="2" fontId="0" fillId="0" borderId="10" xfId="0" applyNumberFormat="1" applyBorder="1" applyAlignment="1">
      <alignment horizontal="center" vertical="center"/>
    </xf>
    <xf numFmtId="2" fontId="5" fillId="0" borderId="1" xfId="0" applyNumberFormat="1" applyFont="1" applyBorder="1" applyAlignment="1">
      <alignment horizontal="center" vertical="center"/>
    </xf>
    <xf numFmtId="2" fontId="0" fillId="0" borderId="4" xfId="0" applyNumberFormat="1" applyBorder="1" applyAlignment="1">
      <alignment horizontal="center" vertical="center"/>
    </xf>
    <xf numFmtId="2" fontId="0" fillId="0" borderId="1" xfId="0" applyNumberFormat="1" applyBorder="1" applyAlignment="1">
      <alignment horizontal="center" vertical="center"/>
    </xf>
    <xf numFmtId="2" fontId="6" fillId="5" borderId="13" xfId="0" applyNumberFormat="1" applyFont="1" applyFill="1" applyBorder="1" applyAlignment="1">
      <alignment horizontal="center" vertical="center"/>
    </xf>
    <xf numFmtId="164" fontId="0" fillId="0" borderId="0" xfId="0" applyNumberFormat="1" applyFill="1" applyBorder="1" applyAlignment="1">
      <alignment horizontal="center" vertical="center"/>
    </xf>
    <xf numFmtId="168" fontId="5" fillId="0" borderId="13" xfId="0" applyNumberFormat="1" applyFont="1" applyBorder="1" applyAlignment="1">
      <alignment horizontal="center" vertical="center"/>
    </xf>
    <xf numFmtId="168" fontId="5" fillId="0" borderId="3" xfId="0" applyNumberFormat="1" applyFont="1" applyBorder="1" applyAlignment="1">
      <alignment horizontal="center" vertical="center"/>
    </xf>
    <xf numFmtId="168" fontId="5" fillId="0" borderId="4" xfId="0" applyNumberFormat="1" applyFont="1" applyBorder="1" applyAlignment="1">
      <alignment horizontal="center" vertical="center"/>
    </xf>
    <xf numFmtId="168" fontId="0" fillId="0" borderId="4" xfId="0" applyNumberFormat="1" applyBorder="1" applyAlignment="1">
      <alignment horizontal="center" vertical="center"/>
    </xf>
    <xf numFmtId="0" fontId="3" fillId="0" borderId="4" xfId="0" applyFont="1" applyBorder="1" applyAlignment="1">
      <alignment horizontal="center" vertical="center"/>
    </xf>
    <xf numFmtId="164" fontId="0" fillId="0" borderId="13" xfId="0" applyNumberFormat="1" applyBorder="1" applyAlignment="1">
      <alignment horizontal="center" vertical="center"/>
    </xf>
    <xf numFmtId="164" fontId="0" fillId="0" borderId="15" xfId="0" applyNumberFormat="1" applyBorder="1" applyAlignment="1">
      <alignment horizontal="center" vertical="center"/>
    </xf>
    <xf numFmtId="2" fontId="0" fillId="0" borderId="1" xfId="0" applyNumberFormat="1" applyFill="1" applyBorder="1" applyAlignment="1">
      <alignment horizontal="center" vertical="center"/>
    </xf>
    <xf numFmtId="2" fontId="0" fillId="0" borderId="0" xfId="0" applyNumberFormat="1" applyFill="1" applyAlignment="1">
      <alignment horizontal="center" vertical="center"/>
    </xf>
    <xf numFmtId="2" fontId="0" fillId="0" borderId="4" xfId="0" applyNumberForma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4" xfId="0" applyFont="1" applyFill="1" applyBorder="1" applyAlignment="1">
      <alignment horizontal="center" vertical="center"/>
    </xf>
    <xf numFmtId="2" fontId="6" fillId="7" borderId="11" xfId="0" applyNumberFormat="1" applyFont="1" applyFill="1" applyBorder="1" applyAlignment="1">
      <alignment horizontal="center" vertical="center"/>
    </xf>
    <xf numFmtId="168" fontId="0" fillId="0" borderId="0" xfId="0" applyNumberFormat="1" applyFill="1" applyBorder="1" applyAlignment="1">
      <alignment horizontal="center" vertical="center"/>
    </xf>
    <xf numFmtId="0" fontId="34" fillId="0" borderId="0" xfId="0" applyFont="1" applyFill="1" applyBorder="1" applyAlignment="1">
      <alignment horizontal="center" vertical="center" wrapText="1"/>
    </xf>
    <xf numFmtId="0" fontId="0" fillId="0" borderId="2" xfId="0" applyBorder="1" applyAlignment="1">
      <alignment horizontal="center" vertical="center"/>
    </xf>
    <xf numFmtId="0" fontId="0" fillId="0" borderId="0" xfId="0" applyBorder="1" applyAlignment="1">
      <alignment horizontal="center" vertical="center"/>
    </xf>
    <xf numFmtId="0" fontId="6" fillId="0" borderId="1" xfId="0" applyFont="1" applyBorder="1" applyAlignment="1">
      <alignment horizontal="center" vertical="center"/>
    </xf>
    <xf numFmtId="0" fontId="0" fillId="0" borderId="4" xfId="0" applyBorder="1" applyAlignment="1">
      <alignment horizontal="center"/>
    </xf>
    <xf numFmtId="0" fontId="111" fillId="0" borderId="0" xfId="0" applyFont="1" applyBorder="1" applyAlignment="1">
      <alignment horizontal="center"/>
    </xf>
    <xf numFmtId="2" fontId="9" fillId="7" borderId="11" xfId="0" applyNumberFormat="1" applyFont="1" applyFill="1" applyBorder="1" applyAlignment="1">
      <alignment horizontal="center" vertical="center"/>
    </xf>
    <xf numFmtId="2" fontId="9" fillId="7" borderId="12" xfId="0" applyNumberFormat="1" applyFont="1" applyFill="1" applyBorder="1" applyAlignment="1">
      <alignment horizontal="center" vertical="center"/>
    </xf>
    <xf numFmtId="10" fontId="5" fillId="0" borderId="1" xfId="0" applyNumberFormat="1" applyFont="1" applyBorder="1" applyAlignment="1">
      <alignment horizontal="center"/>
    </xf>
    <xf numFmtId="166" fontId="5" fillId="0" borderId="1" xfId="0" applyNumberFormat="1" applyFont="1" applyBorder="1" applyAlignment="1">
      <alignment horizontal="center"/>
    </xf>
    <xf numFmtId="1" fontId="5" fillId="0" borderId="1" xfId="0" applyNumberFormat="1" applyFont="1" applyBorder="1" applyAlignment="1">
      <alignment horizontal="center"/>
    </xf>
    <xf numFmtId="0" fontId="112" fillId="0" borderId="0" xfId="0" applyFont="1" applyAlignment="1">
      <alignment horizontal="left" vertical="center" readingOrder="1"/>
    </xf>
    <xf numFmtId="0" fontId="113" fillId="0" borderId="0" xfId="0" applyFont="1"/>
    <xf numFmtId="0" fontId="20" fillId="0" borderId="0" xfId="0" applyFont="1" applyAlignment="1">
      <alignment horizontal="center"/>
    </xf>
    <xf numFmtId="0" fontId="113" fillId="0" borderId="0" xfId="0" quotePrefix="1" applyFont="1" applyAlignment="1">
      <alignment horizontal="left" vertical="center" readingOrder="1"/>
    </xf>
    <xf numFmtId="0" fontId="3" fillId="0" borderId="0" xfId="0" applyFont="1" applyAlignment="1">
      <alignment horizontal="center"/>
    </xf>
    <xf numFmtId="0" fontId="114" fillId="0" borderId="0" xfId="0" quotePrefix="1" applyFont="1" applyAlignment="1">
      <alignment horizontal="left" vertical="center" readingOrder="1"/>
    </xf>
    <xf numFmtId="0" fontId="112" fillId="0" borderId="0" xfId="0" quotePrefix="1" applyFont="1" applyAlignment="1">
      <alignment horizontal="left" vertical="center" readingOrder="1"/>
    </xf>
    <xf numFmtId="1" fontId="0" fillId="0" borderId="0" xfId="0" applyNumberFormat="1" applyAlignment="1">
      <alignment horizontal="center"/>
    </xf>
    <xf numFmtId="166" fontId="0" fillId="0" borderId="0" xfId="0" applyNumberFormat="1" applyAlignment="1">
      <alignment horizontal="center"/>
    </xf>
    <xf numFmtId="0" fontId="3" fillId="0" borderId="13" xfId="0" applyFont="1" applyBorder="1" applyAlignment="1"/>
    <xf numFmtId="0" fontId="3" fillId="0" borderId="14" xfId="0" applyFont="1" applyBorder="1" applyAlignment="1"/>
    <xf numFmtId="0" fontId="3" fillId="0" borderId="15" xfId="0" applyFont="1" applyBorder="1" applyAlignment="1"/>
    <xf numFmtId="0" fontId="0" fillId="0" borderId="15" xfId="0" applyBorder="1"/>
    <xf numFmtId="166" fontId="0" fillId="0" borderId="1" xfId="0" applyNumberFormat="1" applyBorder="1" applyAlignment="1">
      <alignment horizontal="center"/>
    </xf>
    <xf numFmtId="0" fontId="3" fillId="0" borderId="1" xfId="0" applyFont="1" applyBorder="1" applyAlignment="1"/>
    <xf numFmtId="0" fontId="0" fillId="0" borderId="14" xfId="0" applyBorder="1" applyAlignment="1"/>
    <xf numFmtId="0" fontId="3" fillId="0" borderId="15" xfId="0" applyFont="1" applyBorder="1"/>
    <xf numFmtId="0" fontId="0" fillId="0" borderId="2" xfId="0" applyBorder="1" applyAlignment="1">
      <alignment horizontal="center"/>
    </xf>
    <xf numFmtId="0" fontId="0" fillId="0" borderId="0" xfId="0" applyBorder="1" applyAlignment="1">
      <alignment horizontal="center"/>
    </xf>
    <xf numFmtId="0" fontId="116" fillId="0" borderId="0" xfId="0" applyFont="1"/>
    <xf numFmtId="0" fontId="20" fillId="0" borderId="0" xfId="0" applyFont="1"/>
    <xf numFmtId="0" fontId="3" fillId="7" borderId="2" xfId="0" applyFont="1" applyFill="1" applyBorder="1" applyAlignment="1">
      <alignment horizontal="center"/>
    </xf>
    <xf numFmtId="0" fontId="7" fillId="7" borderId="2" xfId="0" applyFont="1" applyFill="1" applyBorder="1" applyAlignment="1">
      <alignment horizontal="center"/>
    </xf>
    <xf numFmtId="0" fontId="7" fillId="7" borderId="7" xfId="0" applyFont="1" applyFill="1" applyBorder="1" applyAlignment="1">
      <alignment horizontal="center"/>
    </xf>
    <xf numFmtId="0" fontId="0" fillId="0" borderId="9" xfId="0" applyBorder="1"/>
    <xf numFmtId="0" fontId="0" fillId="0" borderId="13" xfId="0" applyBorder="1"/>
    <xf numFmtId="0" fontId="0" fillId="0" borderId="14" xfId="0" applyBorder="1"/>
    <xf numFmtId="2" fontId="0" fillId="0" borderId="4" xfId="0" applyNumberFormat="1" applyBorder="1" applyAlignment="1">
      <alignment horizontal="center"/>
    </xf>
    <xf numFmtId="0" fontId="0" fillId="0" borderId="0" xfId="0" applyBorder="1" applyAlignment="1"/>
    <xf numFmtId="0" fontId="0" fillId="0" borderId="0" xfId="0" applyFill="1" applyBorder="1" applyAlignment="1"/>
    <xf numFmtId="2" fontId="3" fillId="0" borderId="0" xfId="0" applyNumberFormat="1" applyFont="1" applyFill="1" applyBorder="1" applyAlignment="1">
      <alignment horizontal="center" vertical="top"/>
    </xf>
    <xf numFmtId="0" fontId="3" fillId="0" borderId="0" xfId="0" applyFont="1" applyFill="1" applyBorder="1" applyAlignment="1">
      <alignment horizontal="center" vertical="top"/>
    </xf>
    <xf numFmtId="2" fontId="0" fillId="0" borderId="0" xfId="0" applyNumberFormat="1" applyBorder="1" applyAlignment="1">
      <alignment horizontal="center"/>
    </xf>
    <xf numFmtId="0" fontId="3" fillId="0" borderId="0" xfId="0" applyFont="1" applyBorder="1" applyAlignment="1">
      <alignment horizontal="left"/>
    </xf>
    <xf numFmtId="2" fontId="0" fillId="0" borderId="8" xfId="0" applyNumberFormat="1" applyBorder="1" applyAlignment="1">
      <alignment horizontal="center"/>
    </xf>
    <xf numFmtId="0" fontId="0" fillId="0" borderId="8" xfId="0" applyBorder="1" applyAlignment="1">
      <alignment horizontal="center"/>
    </xf>
    <xf numFmtId="0" fontId="0" fillId="0" borderId="8" xfId="0" applyBorder="1"/>
    <xf numFmtId="0" fontId="0" fillId="0" borderId="0" xfId="0" quotePrefix="1" applyAlignment="1">
      <alignment horizontal="center"/>
    </xf>
    <xf numFmtId="2" fontId="0" fillId="0" borderId="0" xfId="0" applyNumberFormat="1"/>
    <xf numFmtId="0" fontId="0" fillId="0" borderId="2" xfId="0" applyFill="1" applyBorder="1" applyAlignment="1">
      <alignment horizontal="center"/>
    </xf>
    <xf numFmtId="1" fontId="0" fillId="0" borderId="0" xfId="0" applyNumberFormat="1"/>
    <xf numFmtId="2" fontId="5" fillId="20" borderId="1" xfId="0" applyNumberFormat="1" applyFont="1" applyFill="1" applyBorder="1" applyAlignment="1">
      <alignment horizontal="center" vertical="center"/>
    </xf>
    <xf numFmtId="2" fontId="0" fillId="20" borderId="0" xfId="0" applyNumberFormat="1" applyFill="1" applyAlignment="1">
      <alignment horizontal="center" vertical="center"/>
    </xf>
    <xf numFmtId="9" fontId="0" fillId="0" borderId="0" xfId="0" applyNumberFormat="1" applyAlignment="1">
      <alignment horizontal="center"/>
    </xf>
    <xf numFmtId="10" fontId="5" fillId="0" borderId="10" xfId="0" applyNumberFormat="1" applyFont="1" applyBorder="1" applyAlignment="1">
      <alignment horizontal="center"/>
    </xf>
    <xf numFmtId="2" fontId="5" fillId="18" borderId="4" xfId="0" applyNumberFormat="1" applyFont="1" applyFill="1" applyBorder="1" applyAlignment="1">
      <alignment horizontal="center" vertical="center"/>
    </xf>
    <xf numFmtId="9" fontId="5" fillId="0" borderId="4" xfId="0" applyNumberFormat="1" applyFont="1" applyBorder="1" applyAlignment="1">
      <alignment horizontal="center"/>
    </xf>
    <xf numFmtId="2" fontId="5" fillId="18" borderId="15" xfId="0" applyNumberFormat="1" applyFont="1" applyFill="1" applyBorder="1" applyAlignment="1">
      <alignment horizontal="center" vertical="center"/>
    </xf>
    <xf numFmtId="2" fontId="5" fillId="18" borderId="5" xfId="0" applyNumberFormat="1" applyFont="1" applyFill="1" applyBorder="1" applyAlignment="1">
      <alignment horizontal="center" vertical="center"/>
    </xf>
    <xf numFmtId="1" fontId="0" fillId="3" borderId="0" xfId="0" applyNumberFormat="1" applyFill="1" applyAlignment="1">
      <alignment horizontal="center"/>
    </xf>
    <xf numFmtId="2" fontId="0" fillId="21" borderId="10" xfId="0" applyNumberFormat="1" applyFill="1" applyBorder="1" applyAlignment="1">
      <alignment horizontal="center"/>
    </xf>
    <xf numFmtId="2" fontId="0" fillId="21" borderId="1" xfId="0" applyNumberFormat="1" applyFill="1" applyBorder="1" applyAlignment="1">
      <alignment horizontal="center"/>
    </xf>
    <xf numFmtId="2" fontId="0" fillId="21" borderId="3" xfId="0" applyNumberFormat="1" applyFill="1" applyBorder="1" applyAlignment="1">
      <alignment horizontal="center"/>
    </xf>
    <xf numFmtId="2" fontId="0" fillId="21" borderId="2" xfId="0" applyNumberFormat="1" applyFill="1" applyBorder="1" applyAlignment="1">
      <alignment horizontal="center"/>
    </xf>
    <xf numFmtId="0" fontId="9" fillId="12" borderId="0" xfId="0" applyFont="1" applyFill="1" applyBorder="1" applyAlignment="1">
      <alignment vertical="center"/>
    </xf>
    <xf numFmtId="0" fontId="0" fillId="12" borderId="3" xfId="0" applyFill="1" applyBorder="1" applyAlignment="1">
      <alignment horizontal="center"/>
    </xf>
    <xf numFmtId="0" fontId="0" fillId="12" borderId="13" xfId="0" applyFill="1" applyBorder="1" applyAlignment="1">
      <alignment horizontal="center"/>
    </xf>
    <xf numFmtId="0" fontId="3" fillId="0" borderId="0" xfId="0" applyFont="1" applyFill="1" applyBorder="1" applyAlignment="1">
      <alignment horizontal="center"/>
    </xf>
    <xf numFmtId="2" fontId="0" fillId="0" borderId="0" xfId="0" applyNumberFormat="1" applyBorder="1" applyAlignment="1">
      <alignment horizontal="center"/>
    </xf>
    <xf numFmtId="0" fontId="0" fillId="0" borderId="0" xfId="0" applyBorder="1" applyAlignment="1">
      <alignment horizontal="center"/>
    </xf>
    <xf numFmtId="0" fontId="0" fillId="12" borderId="2" xfId="0" applyFill="1" applyBorder="1" applyAlignment="1">
      <alignment horizontal="center"/>
    </xf>
    <xf numFmtId="0" fontId="0" fillId="12" borderId="7" xfId="0" applyFill="1" applyBorder="1" applyAlignment="1">
      <alignment horizontal="center"/>
    </xf>
    <xf numFmtId="0" fontId="0" fillId="0" borderId="0" xfId="0" applyFont="1" applyFill="1" applyAlignment="1">
      <alignment horizontal="center" vertical="top"/>
    </xf>
    <xf numFmtId="0" fontId="0" fillId="0" borderId="0" xfId="0" applyFill="1" applyAlignment="1">
      <alignment horizontal="center" vertical="top"/>
    </xf>
    <xf numFmtId="0" fontId="0" fillId="0" borderId="0" xfId="0" applyFill="1" applyBorder="1" applyAlignment="1">
      <alignment horizontal="left"/>
    </xf>
    <xf numFmtId="0" fontId="3" fillId="0" borderId="0" xfId="0" applyFont="1" applyFill="1" applyBorder="1" applyAlignment="1">
      <alignment horizontal="left"/>
    </xf>
    <xf numFmtId="0" fontId="20" fillId="0" borderId="0" xfId="0" applyFont="1" applyFill="1" applyBorder="1" applyAlignment="1">
      <alignment horizontal="center" vertical="center"/>
    </xf>
    <xf numFmtId="2" fontId="0" fillId="0" borderId="0" xfId="0" quotePrefix="1" applyNumberFormat="1" applyFill="1" applyBorder="1" applyAlignment="1">
      <alignment horizontal="center" vertical="center"/>
    </xf>
    <xf numFmtId="1" fontId="0" fillId="0" borderId="0" xfId="0" applyNumberFormat="1" applyFill="1" applyBorder="1" applyAlignment="1">
      <alignment horizontal="center" vertical="center"/>
    </xf>
    <xf numFmtId="0" fontId="118" fillId="0" borderId="0" xfId="0" applyFont="1"/>
    <xf numFmtId="0" fontId="11" fillId="22" borderId="12" xfId="0" applyFont="1" applyFill="1" applyBorder="1" applyAlignment="1">
      <alignment horizontal="center" vertical="center"/>
    </xf>
    <xf numFmtId="0" fontId="0" fillId="22" borderId="10" xfId="0" applyFill="1" applyBorder="1" applyAlignment="1">
      <alignment horizontal="center"/>
    </xf>
    <xf numFmtId="0" fontId="0" fillId="22" borderId="3" xfId="0" applyFont="1" applyFill="1" applyBorder="1" applyAlignment="1">
      <alignment horizontal="center" vertical="center"/>
    </xf>
    <xf numFmtId="0" fontId="0" fillId="22" borderId="3" xfId="0" applyFill="1" applyBorder="1" applyAlignment="1">
      <alignment horizontal="center"/>
    </xf>
    <xf numFmtId="0" fontId="0" fillId="22" borderId="10" xfId="0" applyFont="1" applyFill="1" applyBorder="1" applyAlignment="1">
      <alignment horizontal="center" vertical="center"/>
    </xf>
    <xf numFmtId="0" fontId="0" fillId="22" borderId="4" xfId="0" applyFill="1" applyBorder="1" applyAlignment="1">
      <alignment horizontal="center"/>
    </xf>
    <xf numFmtId="0" fontId="0" fillId="22" borderId="11" xfId="0" applyFill="1" applyBorder="1" applyAlignment="1">
      <alignment horizontal="center"/>
    </xf>
    <xf numFmtId="0" fontId="0" fillId="22" borderId="2" xfId="0" applyFont="1" applyFill="1" applyBorder="1" applyAlignment="1">
      <alignment horizontal="center" vertical="center"/>
    </xf>
    <xf numFmtId="0" fontId="0" fillId="22" borderId="2" xfId="0" applyFill="1" applyBorder="1" applyAlignment="1">
      <alignment horizontal="center"/>
    </xf>
    <xf numFmtId="0" fontId="0" fillId="22" borderId="11" xfId="0" applyFont="1" applyFill="1" applyBorder="1" applyAlignment="1">
      <alignment horizontal="center" vertical="center"/>
    </xf>
    <xf numFmtId="0" fontId="0" fillId="22" borderId="0" xfId="0" applyFill="1" applyBorder="1" applyAlignment="1">
      <alignment horizontal="center"/>
    </xf>
    <xf numFmtId="0" fontId="0" fillId="22" borderId="12" xfId="0" applyFill="1" applyBorder="1" applyAlignment="1">
      <alignment horizontal="center"/>
    </xf>
    <xf numFmtId="0" fontId="0" fillId="22" borderId="7" xfId="0" applyFont="1" applyFill="1" applyBorder="1" applyAlignment="1">
      <alignment horizontal="center" vertical="center"/>
    </xf>
    <xf numFmtId="0" fontId="0" fillId="22" borderId="0" xfId="0" applyFont="1" applyFill="1" applyBorder="1" applyAlignment="1">
      <alignment horizontal="center" vertical="center"/>
    </xf>
    <xf numFmtId="0" fontId="0" fillId="23" borderId="10" xfId="0" applyFill="1" applyBorder="1" applyAlignment="1">
      <alignment horizontal="center"/>
    </xf>
    <xf numFmtId="0" fontId="0" fillId="23" borderId="4" xfId="0" applyFont="1" applyFill="1" applyBorder="1" applyAlignment="1">
      <alignment horizontal="center" vertical="center"/>
    </xf>
    <xf numFmtId="0" fontId="0" fillId="23" borderId="5" xfId="0" applyFill="1" applyBorder="1" applyAlignment="1">
      <alignment horizontal="center"/>
    </xf>
    <xf numFmtId="0" fontId="0" fillId="23" borderId="3" xfId="0" applyFont="1" applyFill="1" applyBorder="1" applyAlignment="1">
      <alignment horizontal="center" vertical="center"/>
    </xf>
    <xf numFmtId="0" fontId="0" fillId="23" borderId="11" xfId="0" applyFill="1" applyBorder="1" applyAlignment="1">
      <alignment horizontal="center"/>
    </xf>
    <xf numFmtId="0" fontId="0" fillId="23" borderId="0" xfId="0" applyFont="1" applyFill="1" applyBorder="1" applyAlignment="1">
      <alignment horizontal="center" vertical="center"/>
    </xf>
    <xf numFmtId="0" fontId="0" fillId="23" borderId="6" xfId="0" applyFill="1" applyBorder="1" applyAlignment="1">
      <alignment horizontal="center"/>
    </xf>
    <xf numFmtId="0" fontId="0" fillId="23" borderId="2" xfId="0" applyFont="1" applyFill="1" applyBorder="1" applyAlignment="1">
      <alignment horizontal="center" vertical="center"/>
    </xf>
    <xf numFmtId="0" fontId="0" fillId="23" borderId="12" xfId="0" applyFill="1" applyBorder="1" applyAlignment="1">
      <alignment horizontal="center"/>
    </xf>
    <xf numFmtId="0" fontId="0" fillId="23" borderId="9" xfId="0" applyFill="1" applyBorder="1" applyAlignment="1">
      <alignment horizontal="center"/>
    </xf>
    <xf numFmtId="0" fontId="0" fillId="23" borderId="0" xfId="0" applyFill="1" applyBorder="1" applyAlignment="1">
      <alignment horizontal="center"/>
    </xf>
    <xf numFmtId="0" fontId="0" fillId="23" borderId="11" xfId="0" applyFont="1" applyFill="1" applyBorder="1" applyAlignment="1">
      <alignment horizontal="center" vertical="center"/>
    </xf>
    <xf numFmtId="2" fontId="0" fillId="23" borderId="11" xfId="0" applyNumberFormat="1" applyFont="1" applyFill="1" applyBorder="1" applyAlignment="1">
      <alignment horizontal="center" vertical="center"/>
    </xf>
    <xf numFmtId="0" fontId="3" fillId="7" borderId="2" xfId="0" applyFont="1" applyFill="1" applyBorder="1" applyAlignment="1">
      <alignment vertical="center"/>
    </xf>
    <xf numFmtId="0" fontId="3" fillId="7" borderId="6" xfId="0" applyFont="1" applyFill="1" applyBorder="1" applyAlignment="1">
      <alignment vertical="center"/>
    </xf>
    <xf numFmtId="17" fontId="0" fillId="0" borderId="0" xfId="0" quotePrefix="1" applyNumberFormat="1" applyAlignment="1">
      <alignment horizontal="right"/>
    </xf>
    <xf numFmtId="2" fontId="5" fillId="0" borderId="1" xfId="0" applyNumberFormat="1" applyFont="1" applyBorder="1" applyAlignment="1">
      <alignment horizontal="center" vertical="center"/>
    </xf>
    <xf numFmtId="2" fontId="5" fillId="0" borderId="10" xfId="0" applyNumberFormat="1" applyFont="1" applyFill="1" applyBorder="1" applyAlignment="1">
      <alignment horizontal="center" vertical="center"/>
    </xf>
    <xf numFmtId="2" fontId="0" fillId="0" borderId="0" xfId="0" applyNumberFormat="1" applyBorder="1" applyAlignment="1">
      <alignment horizontal="center" vertical="center"/>
    </xf>
    <xf numFmtId="0" fontId="8" fillId="7" borderId="5" xfId="0" applyFont="1" applyFill="1" applyBorder="1" applyAlignment="1">
      <alignment horizontal="center" vertical="center"/>
    </xf>
    <xf numFmtId="0" fontId="8" fillId="7" borderId="9"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2" fontId="6" fillId="0" borderId="1" xfId="0" applyNumberFormat="1" applyFont="1" applyBorder="1" applyAlignment="1">
      <alignment horizontal="left" vertical="center"/>
    </xf>
    <xf numFmtId="2" fontId="6" fillId="0" borderId="13" xfId="0" applyNumberFormat="1" applyFont="1" applyBorder="1" applyAlignment="1">
      <alignment horizontal="left" vertical="center"/>
    </xf>
    <xf numFmtId="2" fontId="6" fillId="0" borderId="15" xfId="0" applyNumberFormat="1" applyFont="1" applyBorder="1" applyAlignment="1">
      <alignment horizontal="left" vertical="center"/>
    </xf>
    <xf numFmtId="2" fontId="6" fillId="0" borderId="10" xfId="0" applyNumberFormat="1" applyFont="1" applyBorder="1" applyAlignment="1">
      <alignment horizontal="lef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2" fontId="5" fillId="0" borderId="1" xfId="0" applyNumberFormat="1" applyFont="1" applyBorder="1" applyAlignment="1">
      <alignment horizontal="center" vertical="center"/>
    </xf>
    <xf numFmtId="0" fontId="6" fillId="5" borderId="15" xfId="0" applyFont="1" applyFill="1" applyBorder="1" applyAlignment="1">
      <alignment horizontal="center" vertical="center"/>
    </xf>
    <xf numFmtId="0" fontId="6" fillId="5" borderId="14" xfId="0" applyFont="1" applyFill="1" applyBorder="1" applyAlignment="1">
      <alignment horizontal="center" vertical="center"/>
    </xf>
    <xf numFmtId="2" fontId="8" fillId="0" borderId="12" xfId="0" applyNumberFormat="1" applyFont="1" applyBorder="1" applyAlignment="1">
      <alignment horizontal="center" vertical="center"/>
    </xf>
    <xf numFmtId="2" fontId="5" fillId="0" borderId="10" xfId="0" applyNumberFormat="1" applyFont="1" applyFill="1" applyBorder="1" applyAlignment="1">
      <alignment horizontal="center" vertical="center"/>
    </xf>
    <xf numFmtId="2" fontId="5" fillId="0" borderId="12" xfId="0" applyNumberFormat="1" applyFont="1" applyFill="1" applyBorder="1" applyAlignment="1">
      <alignment horizontal="center" vertical="center"/>
    </xf>
    <xf numFmtId="2" fontId="5" fillId="0" borderId="11" xfId="0" applyNumberFormat="1" applyFont="1" applyFill="1" applyBorder="1" applyAlignment="1">
      <alignment horizontal="center" vertical="center"/>
    </xf>
    <xf numFmtId="0" fontId="6" fillId="5" borderId="1" xfId="0" applyFont="1" applyFill="1" applyBorder="1" applyAlignment="1">
      <alignment horizontal="center" vertical="center"/>
    </xf>
    <xf numFmtId="2" fontId="6" fillId="0" borderId="13" xfId="0" applyNumberFormat="1" applyFont="1" applyBorder="1" applyAlignment="1">
      <alignment vertical="center"/>
    </xf>
    <xf numFmtId="2" fontId="6" fillId="0" borderId="14" xfId="0" applyNumberFormat="1" applyFont="1" applyBorder="1" applyAlignment="1">
      <alignment vertical="center"/>
    </xf>
    <xf numFmtId="2" fontId="6" fillId="0" borderId="15" xfId="0" applyNumberFormat="1" applyFont="1" applyBorder="1" applyAlignment="1">
      <alignment vertical="center"/>
    </xf>
    <xf numFmtId="0" fontId="18" fillId="0" borderId="13" xfId="0" applyFont="1" applyBorder="1" applyAlignment="1">
      <alignment vertical="center"/>
    </xf>
    <xf numFmtId="0" fontId="18" fillId="0" borderId="15" xfId="0" applyFont="1" applyBorder="1" applyAlignment="1">
      <alignment vertical="center"/>
    </xf>
    <xf numFmtId="0" fontId="56" fillId="4" borderId="3" xfId="0" applyFont="1" applyFill="1" applyBorder="1" applyAlignment="1">
      <alignment vertical="center"/>
    </xf>
    <xf numFmtId="0" fontId="56" fillId="4" borderId="5" xfId="0" applyFont="1" applyFill="1" applyBorder="1" applyAlignment="1">
      <alignment vertical="center"/>
    </xf>
    <xf numFmtId="0" fontId="56" fillId="4" borderId="2" xfId="0" applyFont="1" applyFill="1" applyBorder="1" applyAlignment="1">
      <alignment vertical="center"/>
    </xf>
    <xf numFmtId="0" fontId="56" fillId="4" borderId="6" xfId="0" applyFont="1" applyFill="1" applyBorder="1" applyAlignment="1">
      <alignment vertical="center"/>
    </xf>
    <xf numFmtId="0" fontId="56" fillId="4" borderId="7" xfId="0" applyFont="1" applyFill="1" applyBorder="1" applyAlignment="1">
      <alignment vertical="center"/>
    </xf>
    <xf numFmtId="0" fontId="56" fillId="4" borderId="9" xfId="0" applyFont="1" applyFill="1" applyBorder="1" applyAlignment="1">
      <alignment vertical="center"/>
    </xf>
    <xf numFmtId="0" fontId="18" fillId="0" borderId="6" xfId="0" applyFont="1" applyBorder="1" applyAlignment="1">
      <alignment vertical="center"/>
    </xf>
    <xf numFmtId="0" fontId="18" fillId="7" borderId="2" xfId="0" applyFont="1" applyFill="1" applyBorder="1" applyAlignment="1">
      <alignment horizontal="center" vertical="center"/>
    </xf>
    <xf numFmtId="0" fontId="18" fillId="7" borderId="10" xfId="0" applyFont="1" applyFill="1" applyBorder="1" applyAlignment="1">
      <alignment horizontal="center" vertical="center"/>
    </xf>
    <xf numFmtId="0" fontId="18" fillId="7" borderId="12"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9" xfId="0"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6" fillId="5" borderId="15" xfId="0" applyFont="1" applyFill="1" applyBorder="1" applyAlignment="1">
      <alignment horizontal="center" vertical="center"/>
    </xf>
    <xf numFmtId="0" fontId="6" fillId="5" borderId="14" xfId="0" applyFont="1" applyFill="1" applyBorder="1" applyAlignment="1">
      <alignment horizontal="center" vertical="center"/>
    </xf>
    <xf numFmtId="2" fontId="5" fillId="0" borderId="10" xfId="0" applyNumberFormat="1" applyFont="1" applyFill="1" applyBorder="1" applyAlignment="1">
      <alignment horizontal="center" vertical="center"/>
    </xf>
    <xf numFmtId="2" fontId="5" fillId="0" borderId="12" xfId="0" applyNumberFormat="1" applyFont="1" applyFill="1" applyBorder="1" applyAlignment="1">
      <alignment horizontal="center" vertical="center"/>
    </xf>
    <xf numFmtId="2" fontId="5" fillId="0" borderId="11"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119" fillId="0" borderId="0" xfId="4" applyAlignment="1" applyProtection="1"/>
    <xf numFmtId="0" fontId="1" fillId="0" borderId="0" xfId="0" applyFont="1" applyFill="1" applyBorder="1" applyAlignment="1">
      <alignment vertical="center" textRotation="90"/>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7" xfId="0" applyFont="1" applyFill="1" applyBorder="1" applyAlignment="1">
      <alignment horizontal="center" vertical="center"/>
    </xf>
    <xf numFmtId="2" fontId="5" fillId="0" borderId="1" xfId="0" applyNumberFormat="1" applyFont="1" applyBorder="1" applyAlignment="1">
      <alignment horizontal="center" vertical="center"/>
    </xf>
    <xf numFmtId="0" fontId="18" fillId="7" borderId="10" xfId="0" applyFont="1" applyFill="1" applyBorder="1" applyAlignment="1">
      <alignment horizontal="center" vertical="center"/>
    </xf>
    <xf numFmtId="0" fontId="18" fillId="7" borderId="12"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8" fillId="7" borderId="3" xfId="0" applyFont="1" applyFill="1" applyBorder="1" applyAlignment="1">
      <alignment horizontal="center" vertical="center"/>
    </xf>
    <xf numFmtId="0" fontId="8" fillId="7" borderId="2" xfId="0" applyFont="1" applyFill="1" applyBorder="1" applyAlignment="1">
      <alignment horizontal="center" vertical="center"/>
    </xf>
    <xf numFmtId="0" fontId="34" fillId="7" borderId="10" xfId="1" applyFont="1" applyFill="1" applyBorder="1" applyAlignment="1">
      <alignment horizontal="center" vertical="center" wrapText="1"/>
    </xf>
    <xf numFmtId="0" fontId="34" fillId="7" borderId="11" xfId="1" applyFont="1" applyFill="1" applyBorder="1" applyAlignment="1">
      <alignment horizontal="center" vertical="center" wrapText="1"/>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6" fillId="5" borderId="13" xfId="0" applyFont="1" applyFill="1" applyBorder="1" applyAlignment="1">
      <alignment horizontal="center" vertical="center"/>
    </xf>
    <xf numFmtId="0" fontId="6" fillId="5" borderId="15"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6" fillId="5" borderId="14" xfId="0" applyFont="1" applyFill="1" applyBorder="1" applyAlignment="1">
      <alignment horizontal="center" vertical="center"/>
    </xf>
    <xf numFmtId="2" fontId="5" fillId="0" borderId="10" xfId="0" applyNumberFormat="1" applyFont="1" applyFill="1" applyBorder="1" applyAlignment="1">
      <alignment horizontal="center" vertical="center"/>
    </xf>
    <xf numFmtId="2" fontId="5" fillId="0" borderId="12" xfId="0" applyNumberFormat="1" applyFont="1" applyFill="1" applyBorder="1" applyAlignment="1">
      <alignment horizontal="center" vertical="center"/>
    </xf>
    <xf numFmtId="0" fontId="8" fillId="7" borderId="12" xfId="0" applyFont="1" applyFill="1" applyBorder="1" applyAlignment="1">
      <alignment horizontal="center" vertical="center"/>
    </xf>
    <xf numFmtId="2" fontId="0" fillId="0" borderId="10" xfId="0" applyNumberFormat="1" applyBorder="1" applyAlignment="1">
      <alignment horizontal="center" vertical="center"/>
    </xf>
    <xf numFmtId="2" fontId="0" fillId="0" borderId="11" xfId="0" applyNumberFormat="1" applyBorder="1" applyAlignment="1">
      <alignment horizontal="center" vertical="center"/>
    </xf>
    <xf numFmtId="2" fontId="0" fillId="0" borderId="12" xfId="0" applyNumberFormat="1" applyBorder="1" applyAlignment="1">
      <alignment horizontal="center" vertical="center"/>
    </xf>
    <xf numFmtId="2" fontId="5" fillId="0" borderId="5" xfId="0" applyNumberFormat="1" applyFont="1" applyBorder="1" applyAlignment="1">
      <alignment horizontal="center" vertical="center"/>
    </xf>
    <xf numFmtId="2" fontId="5" fillId="0" borderId="6" xfId="0" applyNumberFormat="1" applyFont="1" applyBorder="1" applyAlignment="1">
      <alignment horizontal="center" vertical="center"/>
    </xf>
    <xf numFmtId="2" fontId="5" fillId="0" borderId="9" xfId="0" applyNumberFormat="1" applyFont="1" applyBorder="1" applyAlignment="1">
      <alignment horizontal="center" vertical="center"/>
    </xf>
    <xf numFmtId="2" fontId="3" fillId="7" borderId="3" xfId="0" applyNumberFormat="1" applyFont="1" applyFill="1" applyBorder="1" applyAlignment="1">
      <alignment horizontal="center" vertical="center"/>
    </xf>
    <xf numFmtId="2" fontId="3" fillId="7" borderId="4" xfId="0" applyNumberFormat="1" applyFont="1" applyFill="1" applyBorder="1" applyAlignment="1">
      <alignment horizontal="center" vertical="center"/>
    </xf>
    <xf numFmtId="2" fontId="3" fillId="7" borderId="5" xfId="0" applyNumberFormat="1" applyFont="1" applyFill="1" applyBorder="1" applyAlignment="1">
      <alignment horizontal="center" vertical="center"/>
    </xf>
    <xf numFmtId="2" fontId="8" fillId="7" borderId="2" xfId="0" applyNumberFormat="1" applyFont="1" applyFill="1" applyBorder="1" applyAlignment="1">
      <alignment horizontal="center" vertical="center"/>
    </xf>
    <xf numFmtId="2" fontId="8" fillId="7" borderId="8" xfId="0" applyNumberFormat="1" applyFont="1" applyFill="1" applyBorder="1" applyAlignment="1">
      <alignment horizontal="center" vertical="center"/>
    </xf>
    <xf numFmtId="2" fontId="8" fillId="7" borderId="9" xfId="0" applyNumberFormat="1" applyFont="1" applyFill="1" applyBorder="1" applyAlignment="1">
      <alignment horizontal="center" vertical="center"/>
    </xf>
    <xf numFmtId="2" fontId="5" fillId="0" borderId="3" xfId="0" applyNumberFormat="1" applyFont="1" applyBorder="1" applyAlignment="1">
      <alignment horizontal="center" vertical="center"/>
    </xf>
    <xf numFmtId="2" fontId="0" fillId="0" borderId="0" xfId="0" applyNumberFormat="1" applyBorder="1" applyAlignment="1">
      <alignment horizontal="center" vertical="center"/>
    </xf>
    <xf numFmtId="2" fontId="8" fillId="7" borderId="7" xfId="0" applyNumberFormat="1" applyFont="1" applyFill="1" applyBorder="1" applyAlignment="1">
      <alignment horizontal="center" vertical="center"/>
    </xf>
    <xf numFmtId="2" fontId="15" fillId="7" borderId="3" xfId="0" applyNumberFormat="1" applyFont="1" applyFill="1" applyBorder="1" applyAlignment="1">
      <alignment horizontal="center" vertical="center"/>
    </xf>
    <xf numFmtId="2" fontId="15" fillId="7" borderId="4" xfId="0" applyNumberFormat="1" applyFont="1" applyFill="1" applyBorder="1" applyAlignment="1">
      <alignment horizontal="center" vertical="center"/>
    </xf>
    <xf numFmtId="2" fontId="15" fillId="7" borderId="5" xfId="0" applyNumberFormat="1" applyFont="1" applyFill="1" applyBorder="1" applyAlignment="1">
      <alignment horizontal="center" vertical="center"/>
    </xf>
    <xf numFmtId="2" fontId="8" fillId="7" borderId="0" xfId="0" applyNumberFormat="1" applyFont="1" applyFill="1" applyBorder="1" applyAlignment="1">
      <alignment horizontal="center" vertical="center"/>
    </xf>
    <xf numFmtId="2" fontId="8" fillId="7" borderId="6" xfId="0" applyNumberFormat="1" applyFont="1" applyFill="1" applyBorder="1" applyAlignment="1">
      <alignment horizontal="center" vertical="center"/>
    </xf>
    <xf numFmtId="2" fontId="5" fillId="0" borderId="11" xfId="0" applyNumberFormat="1" applyFont="1" applyFill="1" applyBorder="1" applyAlignment="1">
      <alignment horizontal="center" vertical="center"/>
    </xf>
    <xf numFmtId="2" fontId="6" fillId="5" borderId="15" xfId="0" applyNumberFormat="1" applyFont="1" applyFill="1" applyBorder="1" applyAlignment="1">
      <alignment horizontal="center" vertical="center"/>
    </xf>
    <xf numFmtId="0" fontId="0" fillId="0" borderId="13" xfId="0" applyBorder="1" applyAlignment="1">
      <alignment horizontal="center" vertical="center"/>
    </xf>
    <xf numFmtId="0" fontId="6" fillId="5" borderId="1" xfId="0" applyFont="1" applyFill="1" applyBorder="1" applyAlignment="1">
      <alignment horizontal="center" vertical="center"/>
    </xf>
    <xf numFmtId="2" fontId="0" fillId="0" borderId="5" xfId="0" applyNumberFormat="1" applyBorder="1" applyAlignment="1">
      <alignment vertical="center"/>
    </xf>
    <xf numFmtId="2" fontId="0" fillId="0" borderId="6" xfId="0" applyNumberFormat="1" applyBorder="1" applyAlignment="1">
      <alignment vertical="center"/>
    </xf>
    <xf numFmtId="2" fontId="0" fillId="0" borderId="9" xfId="0" applyNumberFormat="1" applyBorder="1" applyAlignme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2" fontId="5" fillId="0" borderId="1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8" fillId="7" borderId="10" xfId="0" applyFont="1" applyFill="1" applyBorder="1" applyAlignment="1">
      <alignment horizontal="center" vertical="center"/>
    </xf>
    <xf numFmtId="2" fontId="8" fillId="7" borderId="7"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7" xfId="0" applyFont="1" applyFill="1" applyBorder="1" applyAlignment="1">
      <alignment horizontal="center" vertical="center"/>
    </xf>
    <xf numFmtId="0" fontId="5" fillId="0" borderId="1" xfId="0" applyFont="1" applyBorder="1" applyAlignment="1">
      <alignment horizontal="center" vertical="center"/>
    </xf>
    <xf numFmtId="0" fontId="8" fillId="7" borderId="12" xfId="0" applyFont="1" applyFill="1" applyBorder="1" applyAlignment="1">
      <alignment horizontal="center" vertical="center"/>
    </xf>
    <xf numFmtId="0" fontId="9" fillId="5" borderId="1" xfId="0" applyFont="1" applyFill="1" applyBorder="1" applyAlignment="1">
      <alignment horizontal="center" vertical="center"/>
    </xf>
    <xf numFmtId="0" fontId="8" fillId="0" borderId="6" xfId="0" quotePrefix="1"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0" fillId="0" borderId="14" xfId="0" applyBorder="1" applyAlignment="1">
      <alignment horizontal="center" vertical="center"/>
    </xf>
    <xf numFmtId="2" fontId="3" fillId="0" borderId="12" xfId="0" applyNumberFormat="1" applyFont="1" applyBorder="1" applyAlignment="1">
      <alignment horizontal="center" vertical="center"/>
    </xf>
    <xf numFmtId="0" fontId="1" fillId="0" borderId="15" xfId="0" quotePrefix="1" applyFont="1" applyBorder="1" applyAlignment="1">
      <alignment horizontal="center" vertical="center"/>
    </xf>
    <xf numFmtId="0" fontId="1" fillId="0" borderId="7" xfId="0" applyFont="1" applyBorder="1" applyAlignment="1">
      <alignment horizontal="left" vertical="center"/>
    </xf>
    <xf numFmtId="0" fontId="18" fillId="26" borderId="1" xfId="0" applyFont="1" applyFill="1" applyBorder="1" applyAlignment="1">
      <alignment horizontal="center" vertical="center"/>
    </xf>
    <xf numFmtId="0" fontId="18" fillId="27" borderId="1" xfId="0" applyFont="1" applyFill="1" applyBorder="1" applyAlignment="1">
      <alignment horizontal="center" vertical="center"/>
    </xf>
    <xf numFmtId="0" fontId="18" fillId="9" borderId="10" xfId="0" applyFont="1" applyFill="1" applyBorder="1" applyAlignment="1">
      <alignment horizontal="center" vertical="center"/>
    </xf>
    <xf numFmtId="0" fontId="18" fillId="10" borderId="11" xfId="0" applyFont="1" applyFill="1" applyBorder="1" applyAlignment="1">
      <alignment horizontal="center" vertical="center"/>
    </xf>
    <xf numFmtId="2" fontId="49" fillId="0" borderId="11" xfId="1" applyNumberFormat="1" applyFont="1" applyBorder="1" applyAlignment="1">
      <alignment horizontal="center" vertical="center" wrapText="1"/>
    </xf>
    <xf numFmtId="0" fontId="18" fillId="26" borderId="11" xfId="0" applyFont="1" applyFill="1" applyBorder="1" applyAlignment="1">
      <alignment horizontal="center" vertical="center"/>
    </xf>
    <xf numFmtId="0" fontId="18" fillId="0" borderId="2" xfId="0" applyFont="1" applyFill="1" applyBorder="1" applyAlignment="1">
      <alignment horizontal="center" vertical="center"/>
    </xf>
    <xf numFmtId="0" fontId="18" fillId="12" borderId="11" xfId="0" applyFont="1" applyFill="1" applyBorder="1" applyAlignment="1">
      <alignment horizontal="center" vertical="center"/>
    </xf>
    <xf numFmtId="0" fontId="18" fillId="26" borderId="12" xfId="0" applyFont="1" applyFill="1" applyBorder="1" applyAlignment="1">
      <alignment horizontal="center" vertical="center"/>
    </xf>
    <xf numFmtId="0" fontId="18" fillId="27" borderId="11" xfId="0" applyFont="1" applyFill="1" applyBorder="1" applyAlignment="1">
      <alignment horizontal="center" vertical="center"/>
    </xf>
    <xf numFmtId="0" fontId="18" fillId="12" borderId="12" xfId="0" applyFont="1" applyFill="1" applyBorder="1" applyAlignment="1">
      <alignment horizontal="center" vertical="center"/>
    </xf>
    <xf numFmtId="0" fontId="18" fillId="7" borderId="11" xfId="0" applyFont="1" applyFill="1"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18" fillId="7" borderId="10" xfId="0" applyFont="1" applyFill="1" applyBorder="1" applyAlignment="1">
      <alignment horizontal="center" vertical="center"/>
    </xf>
    <xf numFmtId="0" fontId="18" fillId="7" borderId="12" xfId="0" applyFont="1" applyFill="1" applyBorder="1" applyAlignment="1">
      <alignment horizontal="center" vertical="center"/>
    </xf>
    <xf numFmtId="2" fontId="5" fillId="0" borderId="1" xfId="0" applyNumberFormat="1" applyFont="1" applyBorder="1" applyAlignment="1">
      <alignment horizontal="center" vertical="center"/>
    </xf>
    <xf numFmtId="2" fontId="6" fillId="5" borderId="4" xfId="0" applyNumberFormat="1" applyFont="1" applyFill="1" applyBorder="1" applyAlignment="1">
      <alignment horizontal="center" vertical="center"/>
    </xf>
    <xf numFmtId="2" fontId="5" fillId="5" borderId="0" xfId="0" applyNumberFormat="1" applyFont="1" applyFill="1" applyBorder="1" applyAlignment="1">
      <alignment horizontal="left" vertical="center"/>
    </xf>
    <xf numFmtId="2" fontId="6" fillId="0" borderId="2" xfId="0" applyNumberFormat="1" applyFont="1" applyFill="1" applyBorder="1" applyAlignment="1">
      <alignment horizontal="center" vertical="center"/>
    </xf>
    <xf numFmtId="0" fontId="18" fillId="7" borderId="12" xfId="0" applyFont="1" applyFill="1" applyBorder="1" applyAlignment="1">
      <alignment horizontal="center" vertical="center" wrapText="1"/>
    </xf>
    <xf numFmtId="0" fontId="18" fillId="7" borderId="2" xfId="0" applyFont="1" applyFill="1" applyBorder="1" applyAlignment="1">
      <alignment horizontal="center" vertical="center"/>
    </xf>
    <xf numFmtId="2" fontId="5" fillId="5" borderId="2" xfId="0" applyNumberFormat="1" applyFont="1" applyFill="1" applyBorder="1" applyAlignment="1">
      <alignment horizontal="left" vertical="center"/>
    </xf>
    <xf numFmtId="0" fontId="18" fillId="7" borderId="3" xfId="0" applyFont="1" applyFill="1" applyBorder="1" applyAlignment="1">
      <alignment horizontal="center" vertical="center"/>
    </xf>
    <xf numFmtId="0" fontId="18" fillId="7" borderId="7" xfId="0" applyFont="1" applyFill="1" applyBorder="1" applyAlignment="1">
      <alignment horizontal="center" vertical="center"/>
    </xf>
    <xf numFmtId="0" fontId="18" fillId="7" borderId="2"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56" fillId="4" borderId="11" xfId="0" applyFont="1" applyFill="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48" fillId="5" borderId="3" xfId="0" applyFont="1" applyFill="1" applyBorder="1" applyAlignment="1">
      <alignment vertical="center" wrapText="1"/>
    </xf>
    <xf numFmtId="0" fontId="48" fillId="5" borderId="7" xfId="0" applyFont="1" applyFill="1" applyBorder="1" applyAlignment="1">
      <alignment vertical="center" wrapText="1"/>
    </xf>
    <xf numFmtId="0" fontId="5" fillId="5" borderId="13" xfId="0" applyFont="1" applyFill="1" applyBorder="1" applyAlignment="1">
      <alignment vertical="center"/>
    </xf>
    <xf numFmtId="0" fontId="48" fillId="5" borderId="1" xfId="0" applyFont="1" applyFill="1" applyBorder="1" applyAlignment="1">
      <alignment vertical="center" wrapText="1"/>
    </xf>
    <xf numFmtId="0" fontId="6" fillId="0" borderId="3" xfId="0" applyFont="1" applyBorder="1" applyAlignment="1">
      <alignment horizontal="center" vertical="center"/>
    </xf>
    <xf numFmtId="0" fontId="14" fillId="0" borderId="3" xfId="0" applyFont="1" applyFill="1" applyBorder="1" applyAlignment="1">
      <alignment horizontal="center" vertical="center"/>
    </xf>
    <xf numFmtId="0" fontId="8" fillId="0" borderId="7" xfId="0" applyFont="1" applyFill="1" applyBorder="1" applyAlignment="1">
      <alignment horizontal="center" vertical="center"/>
    </xf>
    <xf numFmtId="0" fontId="6" fillId="0" borderId="2" xfId="0" applyFont="1" applyBorder="1" applyAlignment="1">
      <alignment horizontal="center" vertical="center"/>
    </xf>
    <xf numFmtId="0" fontId="18" fillId="0" borderId="0" xfId="0" applyFont="1" applyBorder="1" applyAlignment="1">
      <alignment horizontal="center" vertical="center"/>
    </xf>
    <xf numFmtId="1" fontId="5" fillId="0" borderId="0" xfId="0" applyNumberFormat="1" applyFont="1" applyBorder="1" applyAlignment="1">
      <alignment vertical="center"/>
    </xf>
    <xf numFmtId="1" fontId="5" fillId="0" borderId="4" xfId="0" applyNumberFormat="1" applyFont="1" applyBorder="1" applyAlignment="1">
      <alignment vertical="center"/>
    </xf>
    <xf numFmtId="2" fontId="5" fillId="0" borderId="4" xfId="0" applyNumberFormat="1" applyFont="1" applyFill="1" applyBorder="1" applyAlignment="1">
      <alignment vertical="center"/>
    </xf>
    <xf numFmtId="0" fontId="120" fillId="0" borderId="0" xfId="0" applyFont="1" applyAlignment="1">
      <alignment horizontal="center" vertical="center"/>
    </xf>
    <xf numFmtId="165" fontId="5" fillId="0" borderId="10" xfId="0" applyNumberFormat="1" applyFont="1" applyBorder="1" applyAlignment="1">
      <alignment horizontal="center" vertical="center"/>
    </xf>
    <xf numFmtId="165" fontId="5" fillId="0" borderId="11" xfId="0" applyNumberFormat="1" applyFont="1" applyBorder="1" applyAlignment="1">
      <alignment horizontal="center" vertical="center"/>
    </xf>
    <xf numFmtId="165" fontId="5" fillId="0" borderId="12" xfId="0" applyNumberFormat="1" applyFont="1" applyBorder="1" applyAlignment="1">
      <alignment horizontal="center" vertical="center"/>
    </xf>
    <xf numFmtId="0" fontId="120" fillId="0" borderId="0" xfId="0" applyFont="1"/>
    <xf numFmtId="0" fontId="120" fillId="0" borderId="0" xfId="0" applyFont="1" applyAlignment="1">
      <alignment horizontal="left" vertical="top"/>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18" fillId="7" borderId="11" xfId="0" applyFont="1" applyFill="1" applyBorder="1" applyAlignment="1">
      <alignment horizontal="center" vertical="center"/>
    </xf>
    <xf numFmtId="0" fontId="18" fillId="7" borderId="12" xfId="0" applyFont="1" applyFill="1" applyBorder="1" applyAlignment="1">
      <alignment horizontal="center" vertical="center"/>
    </xf>
    <xf numFmtId="2" fontId="0" fillId="0" borderId="11" xfId="0" applyNumberFormat="1" applyBorder="1" applyAlignment="1">
      <alignment horizontal="center" vertical="center"/>
    </xf>
    <xf numFmtId="2" fontId="0" fillId="0" borderId="12" xfId="0" applyNumberFormat="1" applyBorder="1" applyAlignment="1">
      <alignment horizontal="center" vertical="center"/>
    </xf>
    <xf numFmtId="0" fontId="18" fillId="7" borderId="5" xfId="0" applyFont="1" applyFill="1" applyBorder="1" applyAlignment="1">
      <alignment horizontal="center" vertical="center"/>
    </xf>
    <xf numFmtId="0" fontId="18" fillId="7" borderId="6" xfId="0" applyFont="1" applyFill="1" applyBorder="1" applyAlignment="1">
      <alignment horizontal="center" vertical="center"/>
    </xf>
    <xf numFmtId="0" fontId="18" fillId="7" borderId="9" xfId="0" applyFont="1" applyFill="1" applyBorder="1" applyAlignment="1">
      <alignment horizontal="center" vertical="center"/>
    </xf>
    <xf numFmtId="0" fontId="18" fillId="7" borderId="11" xfId="0" applyFont="1" applyFill="1" applyBorder="1" applyAlignment="1">
      <alignment horizontal="center" vertical="center" wrapText="1"/>
    </xf>
    <xf numFmtId="2" fontId="5" fillId="0" borderId="1" xfId="0" applyNumberFormat="1" applyFont="1" applyBorder="1" applyAlignment="1">
      <alignment horizontal="center" vertical="center"/>
    </xf>
    <xf numFmtId="2" fontId="5" fillId="0" borderId="10" xfId="0" applyNumberFormat="1" applyFont="1" applyFill="1" applyBorder="1" applyAlignment="1">
      <alignment horizontal="center" vertical="center"/>
    </xf>
    <xf numFmtId="2" fontId="5" fillId="0" borderId="11" xfId="0" applyNumberFormat="1" applyFont="1" applyFill="1" applyBorder="1" applyAlignment="1">
      <alignment horizontal="center" vertical="center"/>
    </xf>
    <xf numFmtId="2" fontId="5" fillId="0" borderId="12" xfId="0" applyNumberFormat="1" applyFont="1" applyFill="1"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18" fillId="7" borderId="0" xfId="0" applyFont="1" applyFill="1" applyBorder="1" applyAlignment="1">
      <alignment horizontal="center" vertical="center" wrapText="1"/>
    </xf>
    <xf numFmtId="0" fontId="18" fillId="7" borderId="4" xfId="0" applyFont="1" applyFill="1" applyBorder="1" applyAlignment="1">
      <alignment horizontal="center" vertical="center"/>
    </xf>
    <xf numFmtId="0" fontId="18" fillId="7" borderId="0" xfId="0" applyFont="1" applyFill="1" applyBorder="1" applyAlignment="1">
      <alignment horizontal="center" vertical="center"/>
    </xf>
    <xf numFmtId="0" fontId="18" fillId="7" borderId="8" xfId="0" applyFont="1" applyFill="1" applyBorder="1" applyAlignment="1">
      <alignment horizontal="center" vertical="center"/>
    </xf>
    <xf numFmtId="0" fontId="18" fillId="7" borderId="6"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 fillId="0" borderId="10" xfId="0" quotePrefix="1" applyFont="1" applyBorder="1" applyAlignment="1">
      <alignment horizontal="center" vertical="center"/>
    </xf>
    <xf numFmtId="0" fontId="1" fillId="0" borderId="12" xfId="0" quotePrefix="1" applyFont="1" applyBorder="1" applyAlignment="1">
      <alignment horizontal="left" vertical="center"/>
    </xf>
    <xf numFmtId="0" fontId="1" fillId="0" borderId="12" xfId="0" quotePrefix="1" applyFont="1" applyBorder="1" applyAlignment="1">
      <alignment horizontal="center" vertical="center"/>
    </xf>
    <xf numFmtId="0" fontId="1" fillId="0" borderId="13" xfId="0" applyFont="1" applyBorder="1" applyAlignment="1">
      <alignment horizontal="left" vertical="center"/>
    </xf>
    <xf numFmtId="0" fontId="1" fillId="0" borderId="14" xfId="0" quotePrefix="1" applyFont="1" applyBorder="1" applyAlignment="1">
      <alignment horizontal="left" vertical="center"/>
    </xf>
    <xf numFmtId="0" fontId="1" fillId="0" borderId="14" xfId="0" applyFont="1" applyBorder="1" applyAlignment="1">
      <alignment horizontal="left" vertical="center"/>
    </xf>
    <xf numFmtId="2" fontId="5" fillId="0" borderId="14" xfId="0" applyNumberFormat="1" applyFont="1" applyFill="1" applyBorder="1" applyAlignment="1">
      <alignment horizontal="center" vertical="center"/>
    </xf>
    <xf numFmtId="0" fontId="18" fillId="7" borderId="3" xfId="0" applyFont="1" applyFill="1" applyBorder="1" applyAlignment="1">
      <alignment horizontal="center" vertical="center" wrapText="1"/>
    </xf>
    <xf numFmtId="0" fontId="1" fillId="0" borderId="10" xfId="0" applyFont="1" applyBorder="1" applyAlignment="1">
      <alignment horizontal="left"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0" fontId="18" fillId="9" borderId="12" xfId="0" applyFont="1" applyFill="1" applyBorder="1" applyAlignment="1">
      <alignment horizontal="center" vertical="center"/>
    </xf>
    <xf numFmtId="0" fontId="18" fillId="27" borderId="12" xfId="0"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18" fillId="7" borderId="11" xfId="0" applyFont="1" applyFill="1" applyBorder="1" applyAlignment="1">
      <alignment horizontal="center" vertical="center"/>
    </xf>
    <xf numFmtId="2" fontId="5" fillId="0" borderId="11" xfId="0" applyNumberFormat="1" applyFont="1" applyBorder="1" applyAlignment="1">
      <alignment horizontal="center" vertical="center"/>
    </xf>
    <xf numFmtId="0" fontId="18" fillId="7" borderId="10" xfId="0" applyFont="1" applyFill="1" applyBorder="1" applyAlignment="1">
      <alignment horizontal="center" vertical="center"/>
    </xf>
    <xf numFmtId="0" fontId="18" fillId="7" borderId="12" xfId="0" applyFont="1" applyFill="1" applyBorder="1" applyAlignment="1">
      <alignment horizontal="center" vertical="center"/>
    </xf>
    <xf numFmtId="2" fontId="5" fillId="0" borderId="1" xfId="0" applyNumberFormat="1" applyFont="1" applyBorder="1" applyAlignment="1">
      <alignment horizontal="center" vertical="center"/>
    </xf>
    <xf numFmtId="0" fontId="0" fillId="0" borderId="13" xfId="0" applyBorder="1" applyAlignment="1">
      <alignment horizontal="center" vertical="center"/>
    </xf>
    <xf numFmtId="2" fontId="121" fillId="0" borderId="2" xfId="0" applyNumberFormat="1" applyFont="1" applyBorder="1" applyAlignment="1">
      <alignment horizontal="center" vertical="center"/>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56" fillId="4" borderId="7" xfId="0" applyFont="1" applyFill="1" applyBorder="1" applyAlignment="1">
      <alignment horizontal="center" vertical="center" wrapText="1"/>
    </xf>
    <xf numFmtId="0" fontId="56" fillId="4" borderId="8" xfId="0" applyFont="1" applyFill="1" applyBorder="1" applyAlignment="1">
      <alignment horizontal="center" vertical="center" wrapText="1"/>
    </xf>
    <xf numFmtId="0" fontId="56" fillId="4" borderId="9" xfId="0" applyFont="1" applyFill="1" applyBorder="1" applyAlignment="1">
      <alignment horizontal="center" vertical="center" wrapText="1"/>
    </xf>
    <xf numFmtId="0" fontId="9" fillId="0" borderId="3" xfId="0" applyFont="1" applyBorder="1" applyAlignment="1">
      <alignment horizontal="left" vertical="center"/>
    </xf>
    <xf numFmtId="0" fontId="9" fillId="0" borderId="5"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56" fillId="4" borderId="3" xfId="0" applyFont="1" applyFill="1" applyBorder="1" applyAlignment="1">
      <alignment horizontal="center" vertical="center" wrapText="1"/>
    </xf>
    <xf numFmtId="0" fontId="56" fillId="4" borderId="5"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18"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2" xfId="0" applyFont="1" applyFill="1" applyBorder="1" applyAlignment="1">
      <alignment horizontal="center" vertical="center"/>
    </xf>
    <xf numFmtId="2" fontId="8" fillId="0" borderId="10" xfId="0" applyNumberFormat="1" applyFont="1" applyBorder="1" applyAlignment="1">
      <alignment horizontal="center" vertical="center"/>
    </xf>
    <xf numFmtId="2" fontId="8" fillId="0" borderId="11" xfId="0" applyNumberFormat="1" applyFont="1" applyBorder="1" applyAlignment="1">
      <alignment horizontal="center" vertical="center"/>
    </xf>
    <xf numFmtId="2" fontId="8" fillId="0" borderId="12" xfId="0" applyNumberFormat="1"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6" fillId="0" borderId="1" xfId="0" applyFont="1" applyBorder="1" applyAlignment="1">
      <alignment horizontal="center" vertical="center"/>
    </xf>
    <xf numFmtId="2" fontId="5" fillId="0" borderId="1" xfId="0" applyNumberFormat="1" applyFont="1" applyBorder="1" applyAlignment="1">
      <alignment horizontal="center" vertical="center"/>
    </xf>
    <xf numFmtId="0" fontId="6" fillId="5" borderId="10" xfId="0" applyFont="1" applyFill="1" applyBorder="1" applyAlignment="1">
      <alignment horizontal="center" vertical="center"/>
    </xf>
    <xf numFmtId="0" fontId="53" fillId="4" borderId="1" xfId="0" applyFont="1" applyFill="1" applyBorder="1" applyAlignment="1">
      <alignment horizontal="center" vertical="center"/>
    </xf>
    <xf numFmtId="2" fontId="6" fillId="5" borderId="1" xfId="0" applyNumberFormat="1" applyFont="1" applyFill="1" applyBorder="1" applyAlignment="1">
      <alignment horizontal="center" vertical="center"/>
    </xf>
    <xf numFmtId="2" fontId="6" fillId="5" borderId="10" xfId="0" applyNumberFormat="1" applyFont="1" applyFill="1" applyBorder="1" applyAlignment="1">
      <alignment horizontal="center" vertical="center"/>
    </xf>
    <xf numFmtId="2" fontId="6" fillId="5" borderId="10" xfId="0" applyNumberFormat="1" applyFont="1" applyFill="1" applyBorder="1" applyAlignment="1">
      <alignment horizontal="center" vertical="center" wrapText="1"/>
    </xf>
    <xf numFmtId="0" fontId="56" fillId="4" borderId="4" xfId="0" applyFont="1" applyFill="1" applyBorder="1" applyAlignment="1">
      <alignment horizontal="center" vertical="center" wrapText="1"/>
    </xf>
    <xf numFmtId="0" fontId="6" fillId="5" borderId="12" xfId="0" applyFont="1" applyFill="1" applyBorder="1" applyAlignment="1">
      <alignment horizontal="center" vertical="center"/>
    </xf>
    <xf numFmtId="2" fontId="5" fillId="6" borderId="1" xfId="0" applyNumberFormat="1" applyFont="1" applyFill="1" applyBorder="1" applyAlignment="1">
      <alignment horizontal="center" vertical="center"/>
    </xf>
    <xf numFmtId="2" fontId="6" fillId="5" borderId="1" xfId="0" applyNumberFormat="1" applyFont="1" applyFill="1" applyBorder="1" applyAlignment="1">
      <alignment horizontal="center" vertical="center" wrapText="1"/>
    </xf>
    <xf numFmtId="2" fontId="56" fillId="4" borderId="10" xfId="0" applyNumberFormat="1" applyFont="1" applyFill="1" applyBorder="1" applyAlignment="1">
      <alignment horizontal="center" vertical="center" wrapText="1"/>
    </xf>
    <xf numFmtId="2" fontId="56" fillId="4" borderId="11" xfId="0" applyNumberFormat="1" applyFont="1" applyFill="1" applyBorder="1" applyAlignment="1">
      <alignment horizontal="center" vertical="center" wrapText="1"/>
    </xf>
    <xf numFmtId="2" fontId="56" fillId="4" borderId="12" xfId="0" applyNumberFormat="1" applyFont="1" applyFill="1" applyBorder="1" applyAlignment="1">
      <alignment horizontal="center" vertical="center" wrapText="1"/>
    </xf>
    <xf numFmtId="0" fontId="65" fillId="4" borderId="1" xfId="0" applyFont="1" applyFill="1" applyBorder="1" applyAlignment="1">
      <alignment horizontal="center" vertical="center" wrapText="1"/>
    </xf>
    <xf numFmtId="0" fontId="0" fillId="0" borderId="1" xfId="0" applyBorder="1" applyAlignment="1">
      <alignment wrapText="1"/>
    </xf>
    <xf numFmtId="0" fontId="0" fillId="0" borderId="10" xfId="0" applyBorder="1" applyAlignment="1">
      <alignment wrapText="1"/>
    </xf>
    <xf numFmtId="2" fontId="5" fillId="5" borderId="0" xfId="0" applyNumberFormat="1" applyFont="1" applyFill="1" applyBorder="1" applyAlignment="1">
      <alignment horizontal="left" vertical="center"/>
    </xf>
    <xf numFmtId="2" fontId="6" fillId="5" borderId="4" xfId="0" applyNumberFormat="1" applyFont="1" applyFill="1" applyBorder="1" applyAlignment="1">
      <alignment horizontal="center" vertical="center"/>
    </xf>
    <xf numFmtId="0" fontId="107" fillId="7" borderId="3" xfId="0" applyFont="1" applyFill="1" applyBorder="1" applyAlignment="1">
      <alignment horizontal="center" vertical="center"/>
    </xf>
    <xf numFmtId="0" fontId="107" fillId="7" borderId="5" xfId="0" applyFont="1" applyFill="1" applyBorder="1" applyAlignment="1">
      <alignment horizontal="center" vertical="center"/>
    </xf>
    <xf numFmtId="0" fontId="107" fillId="7" borderId="2" xfId="0" applyFont="1" applyFill="1" applyBorder="1" applyAlignment="1">
      <alignment horizontal="center" vertical="center"/>
    </xf>
    <xf numFmtId="0" fontId="107" fillId="7" borderId="6" xfId="0" applyFont="1" applyFill="1" applyBorder="1" applyAlignment="1">
      <alignment horizontal="center" vertical="center"/>
    </xf>
    <xf numFmtId="0" fontId="107" fillId="7" borderId="7" xfId="0" applyFont="1" applyFill="1" applyBorder="1" applyAlignment="1">
      <alignment horizontal="center" vertical="center"/>
    </xf>
    <xf numFmtId="0" fontId="107" fillId="7" borderId="9" xfId="0" applyFont="1" applyFill="1" applyBorder="1" applyAlignment="1">
      <alignment horizontal="center" vertical="center"/>
    </xf>
    <xf numFmtId="2" fontId="5" fillId="0" borderId="10" xfId="0" applyNumberFormat="1" applyFont="1" applyFill="1" applyBorder="1" applyAlignment="1">
      <alignment horizontal="center" vertical="center"/>
    </xf>
    <xf numFmtId="2" fontId="5" fillId="0" borderId="11" xfId="0" applyNumberFormat="1" applyFont="1" applyFill="1" applyBorder="1" applyAlignment="1">
      <alignment horizontal="center" vertical="center"/>
    </xf>
    <xf numFmtId="2" fontId="5" fillId="0" borderId="12" xfId="0" applyNumberFormat="1" applyFont="1" applyFill="1" applyBorder="1" applyAlignment="1">
      <alignment horizontal="center" vertical="center"/>
    </xf>
    <xf numFmtId="2" fontId="6" fillId="5" borderId="5" xfId="0" applyNumberFormat="1" applyFont="1" applyFill="1" applyBorder="1" applyAlignment="1">
      <alignment horizontal="center" vertical="center"/>
    </xf>
    <xf numFmtId="0" fontId="0" fillId="0" borderId="2" xfId="0" applyFill="1" applyBorder="1" applyAlignment="1">
      <alignment horizontal="center" vertical="center"/>
    </xf>
    <xf numFmtId="0" fontId="120" fillId="0" borderId="0" xfId="0" applyFont="1" applyFill="1" applyBorder="1" applyAlignment="1">
      <alignment horizontal="left"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6" fillId="5" borderId="13" xfId="0" applyFont="1" applyFill="1" applyBorder="1" applyAlignment="1">
      <alignment horizontal="center" vertical="center" wrapText="1"/>
    </xf>
    <xf numFmtId="0" fontId="6"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8" fillId="7" borderId="2" xfId="0" applyFont="1" applyFill="1" applyBorder="1" applyAlignment="1">
      <alignment horizontal="center" vertical="center"/>
    </xf>
    <xf numFmtId="2" fontId="5" fillId="0" borderId="10" xfId="0" applyNumberFormat="1" applyFont="1" applyBorder="1" applyAlignment="1">
      <alignment horizontal="center" vertical="center"/>
    </xf>
    <xf numFmtId="0" fontId="18" fillId="7" borderId="10" xfId="0" applyFont="1" applyFill="1" applyBorder="1" applyAlignment="1">
      <alignment horizontal="center" vertical="center"/>
    </xf>
    <xf numFmtId="0" fontId="18" fillId="7" borderId="12" xfId="0" applyFont="1" applyFill="1" applyBorder="1" applyAlignment="1">
      <alignment horizontal="center" vertical="center"/>
    </xf>
    <xf numFmtId="0" fontId="8" fillId="7" borderId="6" xfId="0" applyFont="1" applyFill="1" applyBorder="1" applyAlignment="1">
      <alignment horizontal="center" vertical="center"/>
    </xf>
    <xf numFmtId="2" fontId="0" fillId="0" borderId="10" xfId="0" applyNumberFormat="1" applyBorder="1" applyAlignment="1">
      <alignment horizontal="center" vertical="center"/>
    </xf>
    <xf numFmtId="2" fontId="0" fillId="0" borderId="11" xfId="0" applyNumberFormat="1" applyBorder="1" applyAlignment="1">
      <alignment horizontal="center" vertical="center"/>
    </xf>
    <xf numFmtId="2" fontId="0" fillId="0" borderId="12" xfId="0" applyNumberFormat="1" applyBorder="1" applyAlignment="1">
      <alignment horizontal="center" vertical="center"/>
    </xf>
    <xf numFmtId="0" fontId="8" fillId="7" borderId="11" xfId="0" applyFont="1" applyFill="1" applyBorder="1" applyAlignment="1">
      <alignment horizontal="center" vertical="center"/>
    </xf>
    <xf numFmtId="2" fontId="8" fillId="7" borderId="7" xfId="0" applyNumberFormat="1" applyFont="1" applyFill="1" applyBorder="1" applyAlignment="1">
      <alignment horizontal="center" vertical="center"/>
    </xf>
    <xf numFmtId="2" fontId="8" fillId="7" borderId="9"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2" fontId="5" fillId="0" borderId="1" xfId="0" applyNumberFormat="1" applyFont="1" applyBorder="1" applyAlignment="1">
      <alignment horizontal="center" vertical="center"/>
    </xf>
    <xf numFmtId="2" fontId="6" fillId="7" borderId="5" xfId="0" applyNumberFormat="1" applyFont="1" applyFill="1" applyBorder="1" applyAlignment="1">
      <alignment horizontal="center" vertical="center"/>
    </xf>
    <xf numFmtId="2" fontId="8" fillId="7" borderId="6" xfId="0" applyNumberFormat="1" applyFont="1" applyFill="1" applyBorder="1" applyAlignment="1">
      <alignment horizontal="center" vertical="center"/>
    </xf>
    <xf numFmtId="0" fontId="8" fillId="7" borderId="12" xfId="0" applyFont="1" applyFill="1" applyBorder="1" applyAlignment="1">
      <alignment horizontal="center" vertical="center"/>
    </xf>
    <xf numFmtId="2" fontId="15" fillId="5" borderId="14" xfId="0" applyNumberFormat="1" applyFont="1" applyFill="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6" fillId="7" borderId="2" xfId="0" applyFont="1" applyFill="1" applyBorder="1" applyAlignment="1">
      <alignment horizontal="center" vertical="center"/>
    </xf>
    <xf numFmtId="0" fontId="6" fillId="7" borderId="6" xfId="0" applyFont="1" applyFill="1" applyBorder="1" applyAlignment="1">
      <alignment horizontal="center" vertical="center"/>
    </xf>
    <xf numFmtId="0" fontId="0" fillId="0" borderId="1" xfId="0" applyFont="1" applyBorder="1" applyAlignment="1">
      <alignment horizontal="center" vertical="center"/>
    </xf>
    <xf numFmtId="2" fontId="6" fillId="7" borderId="2" xfId="0" applyNumberFormat="1" applyFont="1" applyFill="1" applyBorder="1" applyAlignment="1">
      <alignment horizontal="center" vertical="center"/>
    </xf>
    <xf numFmtId="2" fontId="6" fillId="7" borderId="6" xfId="0" applyNumberFormat="1" applyFont="1" applyFill="1" applyBorder="1" applyAlignment="1">
      <alignment horizontal="center" vertical="center"/>
    </xf>
    <xf numFmtId="0" fontId="34" fillId="5" borderId="1" xfId="0" applyFont="1" applyFill="1" applyBorder="1" applyAlignment="1">
      <alignment horizontal="center" vertical="center" wrapText="1"/>
    </xf>
    <xf numFmtId="1" fontId="0" fillId="0" borderId="3" xfId="0" applyNumberFormat="1" applyBorder="1" applyAlignment="1">
      <alignment horizontal="center" vertical="center"/>
    </xf>
    <xf numFmtId="1" fontId="0" fillId="0" borderId="5" xfId="0" applyNumberFormat="1" applyBorder="1" applyAlignment="1">
      <alignment horizontal="center" vertical="center"/>
    </xf>
    <xf numFmtId="1" fontId="0" fillId="0" borderId="2" xfId="0" applyNumberFormat="1" applyBorder="1" applyAlignment="1">
      <alignment horizontal="center" vertical="center"/>
    </xf>
    <xf numFmtId="1" fontId="0" fillId="0" borderId="6" xfId="0" applyNumberFormat="1" applyBorder="1" applyAlignment="1">
      <alignment horizontal="center" vertical="center"/>
    </xf>
    <xf numFmtId="1" fontId="0" fillId="0" borderId="7" xfId="0" applyNumberFormat="1" applyBorder="1" applyAlignment="1">
      <alignment horizontal="center" vertical="center"/>
    </xf>
    <xf numFmtId="1" fontId="0" fillId="0" borderId="9" xfId="0" applyNumberFormat="1" applyBorder="1" applyAlignment="1">
      <alignment horizontal="center" vertical="center"/>
    </xf>
    <xf numFmtId="1" fontId="0" fillId="0" borderId="4" xfId="0" applyNumberFormat="1" applyBorder="1" applyAlignment="1">
      <alignment horizontal="center"/>
    </xf>
    <xf numFmtId="0" fontId="0" fillId="0" borderId="4" xfId="0" applyBorder="1" applyAlignment="1">
      <alignment horizontal="center"/>
    </xf>
    <xf numFmtId="168" fontId="0" fillId="0" borderId="3" xfId="0" applyNumberFormat="1" applyBorder="1" applyAlignment="1">
      <alignment horizontal="center" vertical="center"/>
    </xf>
    <xf numFmtId="0" fontId="6" fillId="0" borderId="2" xfId="0" applyFont="1" applyFill="1" applyBorder="1" applyAlignment="1">
      <alignment horizontal="center" vertical="center"/>
    </xf>
    <xf numFmtId="2" fontId="15" fillId="7" borderId="2" xfId="0" applyNumberFormat="1" applyFont="1" applyFill="1" applyBorder="1" applyAlignment="1">
      <alignment horizontal="center" vertical="center"/>
    </xf>
    <xf numFmtId="2" fontId="15" fillId="7" borderId="6" xfId="0" applyNumberFormat="1" applyFont="1" applyFill="1" applyBorder="1" applyAlignment="1">
      <alignment horizontal="center" vertical="center"/>
    </xf>
    <xf numFmtId="2" fontId="121" fillId="0" borderId="0" xfId="0" applyNumberFormat="1" applyFont="1" applyFill="1" applyAlignment="1">
      <alignment horizontal="center" vertical="center"/>
    </xf>
    <xf numFmtId="2" fontId="6" fillId="5" borderId="3" xfId="0" applyNumberFormat="1" applyFont="1" applyFill="1" applyBorder="1" applyAlignment="1">
      <alignment vertical="center"/>
    </xf>
    <xf numFmtId="2" fontId="6" fillId="5" borderId="4" xfId="0" applyNumberFormat="1" applyFont="1" applyFill="1" applyBorder="1" applyAlignment="1">
      <alignment vertical="center"/>
    </xf>
    <xf numFmtId="2" fontId="5" fillId="5" borderId="2" xfId="0" applyNumberFormat="1" applyFont="1" applyFill="1" applyBorder="1" applyAlignment="1">
      <alignment vertical="center"/>
    </xf>
    <xf numFmtId="2" fontId="5" fillId="5" borderId="0" xfId="0" applyNumberFormat="1" applyFont="1" applyFill="1" applyBorder="1" applyAlignment="1">
      <alignment vertical="center"/>
    </xf>
    <xf numFmtId="2" fontId="5" fillId="5" borderId="7" xfId="0" applyNumberFormat="1" applyFont="1" applyFill="1" applyBorder="1" applyAlignment="1">
      <alignment vertical="center"/>
    </xf>
    <xf numFmtId="2" fontId="5" fillId="5" borderId="8" xfId="0" applyNumberFormat="1" applyFont="1" applyFill="1" applyBorder="1" applyAlignment="1">
      <alignment vertical="center"/>
    </xf>
    <xf numFmtId="2" fontId="6" fillId="5" borderId="3" xfId="0" applyNumberFormat="1" applyFont="1" applyFill="1" applyBorder="1" applyAlignment="1">
      <alignment horizontal="left" vertical="center"/>
    </xf>
    <xf numFmtId="0" fontId="0" fillId="3" borderId="42" xfId="0" applyFill="1" applyBorder="1" applyAlignment="1">
      <alignment horizontal="center" vertical="center"/>
    </xf>
    <xf numFmtId="2" fontId="5" fillId="5" borderId="4" xfId="0" applyNumberFormat="1" applyFont="1" applyFill="1" applyBorder="1" applyAlignment="1">
      <alignment vertical="center"/>
    </xf>
    <xf numFmtId="2" fontId="5" fillId="5" borderId="5" xfId="0" applyNumberFormat="1" applyFont="1" applyFill="1" applyBorder="1" applyAlignment="1">
      <alignment vertical="center"/>
    </xf>
    <xf numFmtId="2" fontId="5" fillId="5" borderId="6" xfId="0" applyNumberFormat="1" applyFont="1" applyFill="1" applyBorder="1" applyAlignment="1">
      <alignment vertical="center"/>
    </xf>
    <xf numFmtId="2" fontId="5" fillId="5" borderId="9" xfId="0" applyNumberFormat="1" applyFont="1" applyFill="1" applyBorder="1" applyAlignment="1">
      <alignment vertical="center"/>
    </xf>
    <xf numFmtId="0" fontId="19" fillId="0" borderId="0" xfId="0" applyFont="1" applyFill="1" applyAlignment="1">
      <alignment horizontal="center" vertical="center"/>
    </xf>
    <xf numFmtId="2" fontId="6" fillId="5" borderId="0" xfId="0" applyNumberFormat="1" applyFont="1" applyFill="1" applyBorder="1" applyAlignment="1">
      <alignment horizontal="center" vertical="center"/>
    </xf>
    <xf numFmtId="2" fontId="6" fillId="5" borderId="6" xfId="0" applyNumberFormat="1" applyFont="1" applyFill="1" applyBorder="1" applyAlignment="1">
      <alignment horizontal="center" vertical="center"/>
    </xf>
    <xf numFmtId="2" fontId="6" fillId="5" borderId="8" xfId="0" applyNumberFormat="1" applyFont="1" applyFill="1" applyBorder="1" applyAlignment="1">
      <alignment horizontal="center" vertical="center"/>
    </xf>
    <xf numFmtId="2" fontId="6" fillId="5" borderId="4" xfId="0" applyNumberFormat="1" applyFont="1" applyFill="1" applyBorder="1" applyAlignment="1">
      <alignment horizontal="left" vertical="center"/>
    </xf>
    <xf numFmtId="0" fontId="18"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 xfId="0" applyFont="1" applyFill="1" applyBorder="1" applyAlignment="1">
      <alignment horizontal="center" vertical="center"/>
    </xf>
    <xf numFmtId="1" fontId="0" fillId="0" borderId="4" xfId="0" applyNumberFormat="1" applyBorder="1" applyAlignment="1">
      <alignment horizontal="center"/>
    </xf>
    <xf numFmtId="0" fontId="0" fillId="0" borderId="0" xfId="0" applyBorder="1" applyAlignment="1">
      <alignment horizontal="center"/>
    </xf>
    <xf numFmtId="1" fontId="0" fillId="0" borderId="10" xfId="0" applyNumberFormat="1" applyBorder="1" applyAlignment="1">
      <alignment horizontal="center" vertical="center"/>
    </xf>
    <xf numFmtId="1"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 fontId="0" fillId="0" borderId="12" xfId="0" applyNumberFormat="1" applyBorder="1" applyAlignment="1">
      <alignment horizontal="center" vertical="center"/>
    </xf>
    <xf numFmtId="0" fontId="3" fillId="0" borderId="0" xfId="0" applyFont="1" applyFill="1" applyBorder="1" applyAlignment="1">
      <alignment horizontal="center"/>
    </xf>
    <xf numFmtId="0" fontId="11" fillId="22" borderId="11" xfId="0" applyFont="1" applyFill="1" applyBorder="1" applyAlignment="1">
      <alignment horizontal="center" vertical="center"/>
    </xf>
    <xf numFmtId="0" fontId="0" fillId="22" borderId="2" xfId="0" applyFill="1" applyBorder="1" applyAlignment="1">
      <alignment horizontal="center"/>
    </xf>
    <xf numFmtId="0" fontId="0" fillId="22" borderId="0" xfId="0" applyFill="1" applyBorder="1" applyAlignment="1">
      <alignment horizontal="center"/>
    </xf>
    <xf numFmtId="0" fontId="11" fillId="23" borderId="11" xfId="0" applyFont="1" applyFill="1" applyBorder="1" applyAlignment="1">
      <alignment horizontal="center" vertical="center"/>
    </xf>
    <xf numFmtId="0" fontId="11" fillId="23" borderId="12" xfId="0" applyFont="1" applyFill="1" applyBorder="1" applyAlignment="1">
      <alignment horizontal="center" vertical="center"/>
    </xf>
    <xf numFmtId="0" fontId="18" fillId="7" borderId="10" xfId="0" applyFont="1" applyFill="1" applyBorder="1" applyAlignment="1">
      <alignment vertical="center"/>
    </xf>
    <xf numFmtId="0" fontId="18" fillId="7" borderId="11" xfId="0" applyFont="1" applyFill="1" applyBorder="1" applyAlignment="1">
      <alignment vertical="center"/>
    </xf>
    <xf numFmtId="0" fontId="18" fillId="7" borderId="12" xfId="0" applyFont="1" applyFill="1" applyBorder="1" applyAlignment="1">
      <alignment vertical="center"/>
    </xf>
    <xf numFmtId="2" fontId="15" fillId="5" borderId="13" xfId="0" applyNumberFormat="1" applyFont="1" applyFill="1" applyBorder="1" applyAlignment="1">
      <alignment vertical="center"/>
    </xf>
    <xf numFmtId="2" fontId="15" fillId="5" borderId="15" xfId="0" applyNumberFormat="1" applyFont="1" applyFill="1" applyBorder="1" applyAlignment="1">
      <alignment vertical="center"/>
    </xf>
    <xf numFmtId="0" fontId="0" fillId="0" borderId="13" xfId="0" applyBorder="1" applyAlignment="1">
      <alignment vertical="center"/>
    </xf>
    <xf numFmtId="0" fontId="0" fillId="0" borderId="15" xfId="0" applyBorder="1" applyAlignment="1">
      <alignment vertical="center"/>
    </xf>
    <xf numFmtId="2" fontId="0" fillId="0" borderId="14" xfId="0" applyNumberFormat="1" applyFont="1" applyBorder="1" applyAlignment="1">
      <alignment horizontal="center" vertical="center"/>
    </xf>
    <xf numFmtId="2" fontId="6" fillId="5" borderId="15" xfId="0" applyNumberFormat="1" applyFont="1" applyFill="1" applyBorder="1" applyAlignment="1">
      <alignment vertical="center"/>
    </xf>
    <xf numFmtId="0" fontId="43" fillId="0" borderId="13" xfId="0" applyFont="1" applyFill="1" applyBorder="1" applyAlignment="1">
      <alignment horizontal="center" vertical="center"/>
    </xf>
    <xf numFmtId="0" fontId="5" fillId="0" borderId="13" xfId="0" applyFont="1" applyFill="1" applyBorder="1" applyAlignment="1">
      <alignment horizontal="center" vertical="center"/>
    </xf>
    <xf numFmtId="2" fontId="6" fillId="0" borderId="0" xfId="0" applyNumberFormat="1" applyFont="1" applyFill="1" applyBorder="1" applyAlignment="1">
      <alignment vertical="center"/>
    </xf>
    <xf numFmtId="0" fontId="43"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0" fillId="3" borderId="1" xfId="0" applyFill="1" applyBorder="1" applyAlignment="1">
      <alignment horizontal="center" vertical="center"/>
    </xf>
    <xf numFmtId="2" fontId="6" fillId="0" borderId="2" xfId="0" applyNumberFormat="1" applyFont="1" applyFill="1" applyBorder="1" applyAlignment="1">
      <alignment vertical="center"/>
    </xf>
    <xf numFmtId="0" fontId="5" fillId="0" borderId="14" xfId="0" applyFont="1" applyBorder="1" applyAlignment="1">
      <alignment horizontal="center" vertical="center"/>
    </xf>
    <xf numFmtId="2" fontId="0" fillId="0" borderId="15" xfId="0" applyNumberFormat="1" applyBorder="1" applyAlignment="1">
      <alignment horizontal="center" vertical="center"/>
    </xf>
    <xf numFmtId="2" fontId="15" fillId="7" borderId="45" xfId="0" applyNumberFormat="1" applyFont="1" applyFill="1" applyBorder="1" applyAlignment="1">
      <alignment horizontal="center" vertical="center"/>
    </xf>
    <xf numFmtId="2" fontId="15" fillId="7" borderId="46" xfId="0" applyNumberFormat="1" applyFont="1" applyFill="1" applyBorder="1" applyAlignment="1">
      <alignment horizontal="center" vertical="center"/>
    </xf>
    <xf numFmtId="2" fontId="8" fillId="7" borderId="47" xfId="0" applyNumberFormat="1" applyFont="1" applyFill="1" applyBorder="1" applyAlignment="1">
      <alignment horizontal="center" vertical="center"/>
    </xf>
    <xf numFmtId="2" fontId="8" fillId="7" borderId="48" xfId="0" applyNumberFormat="1" applyFont="1" applyFill="1" applyBorder="1" applyAlignment="1">
      <alignment horizontal="center" vertical="center"/>
    </xf>
    <xf numFmtId="2" fontId="5" fillId="0" borderId="49" xfId="0" applyNumberFormat="1" applyFont="1" applyBorder="1" applyAlignment="1">
      <alignment horizontal="center" vertical="center"/>
    </xf>
    <xf numFmtId="2" fontId="5" fillId="0" borderId="50" xfId="0" applyNumberFormat="1" applyFont="1" applyBorder="1" applyAlignment="1">
      <alignment horizontal="center" vertical="center"/>
    </xf>
    <xf numFmtId="0" fontId="0" fillId="3" borderId="42" xfId="0" applyFill="1" applyBorder="1" applyAlignment="1">
      <alignment vertical="center"/>
    </xf>
    <xf numFmtId="2" fontId="8" fillId="0" borderId="2" xfId="0" applyNumberFormat="1" applyFont="1" applyFill="1" applyBorder="1" applyAlignment="1">
      <alignment horizontal="center" vertical="center"/>
    </xf>
    <xf numFmtId="2" fontId="5" fillId="20" borderId="13" xfId="0" applyNumberFormat="1" applyFont="1" applyFill="1" applyBorder="1" applyAlignment="1">
      <alignment horizontal="center" vertical="center"/>
    </xf>
    <xf numFmtId="2" fontId="0" fillId="0" borderId="51" xfId="0" applyNumberFormat="1" applyFill="1" applyBorder="1" applyAlignment="1">
      <alignment horizontal="center" vertical="center"/>
    </xf>
    <xf numFmtId="2" fontId="0" fillId="0" borderId="52" xfId="0" applyNumberFormat="1" applyFill="1" applyBorder="1" applyAlignment="1">
      <alignment horizontal="center" vertical="center"/>
    </xf>
    <xf numFmtId="168" fontId="0" fillId="0" borderId="2" xfId="0" applyNumberFormat="1" applyBorder="1" applyAlignment="1">
      <alignment horizontal="center" vertical="center"/>
    </xf>
    <xf numFmtId="0" fontId="11" fillId="0" borderId="0" xfId="0" applyFont="1" applyBorder="1" applyAlignment="1">
      <alignment horizontal="center" vertical="center"/>
    </xf>
    <xf numFmtId="168" fontId="5" fillId="0" borderId="7" xfId="0" applyNumberFormat="1" applyFont="1" applyBorder="1" applyAlignment="1">
      <alignment horizontal="center" vertical="center"/>
    </xf>
    <xf numFmtId="168" fontId="5" fillId="0" borderId="2" xfId="0" applyNumberFormat="1" applyFont="1" applyBorder="1" applyAlignment="1">
      <alignment horizontal="center" vertical="center"/>
    </xf>
    <xf numFmtId="2" fontId="6" fillId="7" borderId="53" xfId="0" applyNumberFormat="1" applyFont="1" applyFill="1" applyBorder="1" applyAlignment="1">
      <alignment horizontal="center" vertical="center"/>
    </xf>
    <xf numFmtId="0" fontId="11" fillId="0" borderId="54" xfId="0" applyFont="1" applyFill="1" applyBorder="1" applyAlignment="1">
      <alignment horizontal="center" vertical="center"/>
    </xf>
    <xf numFmtId="0" fontId="11" fillId="0" borderId="46" xfId="0" applyFont="1" applyFill="1" applyBorder="1" applyAlignment="1">
      <alignment horizontal="center" vertical="center"/>
    </xf>
    <xf numFmtId="2" fontId="8" fillId="7" borderId="45" xfId="0" applyNumberFormat="1" applyFont="1" applyFill="1" applyBorder="1" applyAlignment="1">
      <alignment horizontal="center" vertical="center"/>
    </xf>
    <xf numFmtId="0" fontId="11" fillId="0" borderId="46" xfId="0" applyFont="1" applyBorder="1" applyAlignment="1">
      <alignment horizontal="center" vertical="center"/>
    </xf>
    <xf numFmtId="168" fontId="5" fillId="0" borderId="54" xfId="0" applyNumberFormat="1" applyFont="1" applyFill="1" applyBorder="1" applyAlignment="1">
      <alignment horizontal="center" vertical="center"/>
    </xf>
    <xf numFmtId="168" fontId="5" fillId="0" borderId="46" xfId="0" applyNumberFormat="1" applyFont="1" applyFill="1" applyBorder="1" applyAlignment="1">
      <alignment horizontal="center" vertical="center"/>
    </xf>
    <xf numFmtId="168" fontId="5" fillId="0" borderId="48" xfId="0" applyNumberFormat="1" applyFont="1" applyFill="1" applyBorder="1" applyAlignment="1">
      <alignment horizontal="center" vertical="center"/>
    </xf>
    <xf numFmtId="2" fontId="5" fillId="0" borderId="47" xfId="0" applyNumberFormat="1" applyFont="1" applyBorder="1" applyAlignment="1">
      <alignment horizontal="center" vertical="center"/>
    </xf>
    <xf numFmtId="168" fontId="5" fillId="0" borderId="46" xfId="0" applyNumberFormat="1" applyFont="1" applyBorder="1" applyAlignment="1">
      <alignment horizontal="center" vertical="center"/>
    </xf>
    <xf numFmtId="168" fontId="5" fillId="0" borderId="48" xfId="0" applyNumberFormat="1" applyFont="1" applyBorder="1" applyAlignment="1">
      <alignment horizontal="center" vertical="center"/>
    </xf>
    <xf numFmtId="2" fontId="5" fillId="0" borderId="53" xfId="0" applyNumberFormat="1" applyFont="1" applyBorder="1" applyAlignment="1">
      <alignment horizontal="center" vertical="center"/>
    </xf>
    <xf numFmtId="168" fontId="0" fillId="0" borderId="7" xfId="0" applyNumberFormat="1" applyBorder="1" applyAlignment="1">
      <alignment horizontal="center" vertical="center"/>
    </xf>
    <xf numFmtId="0" fontId="0" fillId="0" borderId="46" xfId="0" applyBorder="1" applyAlignment="1">
      <alignment horizontal="center" vertical="center"/>
    </xf>
    <xf numFmtId="2" fontId="5" fillId="0" borderId="45" xfId="0" applyNumberFormat="1" applyFont="1" applyBorder="1" applyAlignment="1">
      <alignment horizontal="center" vertical="center"/>
    </xf>
    <xf numFmtId="0" fontId="0" fillId="22" borderId="2" xfId="0" applyFill="1" applyBorder="1" applyAlignment="1">
      <alignment horizontal="center"/>
    </xf>
    <xf numFmtId="0" fontId="0" fillId="22" borderId="3" xfId="0" applyFill="1" applyBorder="1" applyAlignment="1">
      <alignment horizontal="center"/>
    </xf>
    <xf numFmtId="0" fontId="0" fillId="22" borderId="9" xfId="0" applyFill="1" applyBorder="1" applyAlignment="1">
      <alignment horizontal="center"/>
    </xf>
    <xf numFmtId="2" fontId="5" fillId="18" borderId="9" xfId="0" applyNumberFormat="1" applyFont="1" applyFill="1" applyBorder="1" applyAlignment="1">
      <alignment horizontal="center" vertical="center"/>
    </xf>
    <xf numFmtId="10" fontId="5" fillId="0" borderId="12" xfId="0" applyNumberFormat="1" applyFont="1" applyBorder="1" applyAlignment="1">
      <alignment horizontal="center"/>
    </xf>
    <xf numFmtId="166" fontId="5" fillId="0" borderId="12" xfId="0" applyNumberFormat="1" applyFont="1" applyBorder="1" applyAlignment="1">
      <alignment horizontal="center"/>
    </xf>
    <xf numFmtId="1" fontId="5" fillId="0" borderId="12" xfId="0" applyNumberFormat="1" applyFont="1" applyBorder="1" applyAlignment="1">
      <alignment horizontal="center"/>
    </xf>
    <xf numFmtId="166" fontId="5" fillId="0" borderId="10" xfId="0" applyNumberFormat="1" applyFont="1" applyBorder="1" applyAlignment="1">
      <alignment horizontal="center"/>
    </xf>
    <xf numFmtId="1" fontId="5" fillId="0" borderId="10" xfId="0" applyNumberFormat="1" applyFont="1" applyBorder="1" applyAlignment="1">
      <alignment horizontal="center"/>
    </xf>
    <xf numFmtId="0" fontId="20" fillId="0" borderId="0" xfId="0" applyFont="1" applyBorder="1" applyAlignment="1"/>
    <xf numFmtId="1" fontId="0" fillId="3" borderId="1" xfId="0" applyNumberFormat="1" applyFill="1" applyBorder="1" applyAlignment="1">
      <alignment horizontal="center"/>
    </xf>
    <xf numFmtId="0" fontId="83" fillId="21" borderId="4" xfId="0" applyFont="1" applyFill="1" applyBorder="1" applyAlignment="1"/>
    <xf numFmtId="2" fontId="0" fillId="21" borderId="11" xfId="0" applyNumberFormat="1" applyFill="1" applyBorder="1" applyAlignment="1">
      <alignment horizontal="center"/>
    </xf>
    <xf numFmtId="2" fontId="0" fillId="21" borderId="12" xfId="0" applyNumberFormat="1" applyFill="1" applyBorder="1" applyAlignment="1">
      <alignment horizontal="center"/>
    </xf>
    <xf numFmtId="0" fontId="120" fillId="0" borderId="0" xfId="0" applyFont="1" applyBorder="1"/>
    <xf numFmtId="0" fontId="11" fillId="22" borderId="10" xfId="0" applyFont="1" applyFill="1" applyBorder="1" applyAlignment="1">
      <alignment horizontal="center" vertical="center"/>
    </xf>
    <xf numFmtId="0" fontId="3" fillId="7" borderId="3" xfId="0" applyFont="1" applyFill="1" applyBorder="1" applyAlignment="1">
      <alignment vertical="center"/>
    </xf>
    <xf numFmtId="0" fontId="3" fillId="7" borderId="5" xfId="0" applyFont="1" applyFill="1" applyBorder="1" applyAlignment="1">
      <alignment vertical="center"/>
    </xf>
    <xf numFmtId="0" fontId="11" fillId="23" borderId="10" xfId="0" applyFont="1" applyFill="1" applyBorder="1" applyAlignment="1">
      <alignment horizontal="center" vertical="center"/>
    </xf>
    <xf numFmtId="0" fontId="3" fillId="7" borderId="7" xfId="0" applyFont="1" applyFill="1" applyBorder="1" applyAlignment="1">
      <alignment vertical="center"/>
    </xf>
    <xf numFmtId="0" fontId="3" fillId="7" borderId="9" xfId="0" applyFont="1" applyFill="1" applyBorder="1" applyAlignment="1">
      <alignment vertical="center"/>
    </xf>
    <xf numFmtId="0" fontId="0" fillId="21" borderId="15" xfId="0" applyFill="1" applyBorder="1" applyAlignment="1">
      <alignment horizontal="center"/>
    </xf>
    <xf numFmtId="0" fontId="0" fillId="12" borderId="10" xfId="0" applyFill="1" applyBorder="1" applyAlignment="1">
      <alignment horizontal="center"/>
    </xf>
    <xf numFmtId="0" fontId="0" fillId="12" borderId="11" xfId="0" applyFill="1" applyBorder="1" applyAlignment="1">
      <alignment horizontal="center"/>
    </xf>
    <xf numFmtId="0" fontId="0" fillId="12" borderId="12" xfId="0" applyFill="1" applyBorder="1" applyAlignment="1">
      <alignment horizontal="center"/>
    </xf>
    <xf numFmtId="0" fontId="0" fillId="22" borderId="12" xfId="0" applyFont="1" applyFill="1" applyBorder="1" applyAlignment="1">
      <alignment horizontal="center" vertical="center"/>
    </xf>
    <xf numFmtId="0" fontId="0" fillId="22" borderId="8" xfId="0" applyFont="1" applyFill="1" applyBorder="1" applyAlignment="1">
      <alignment horizontal="center" vertical="center"/>
    </xf>
    <xf numFmtId="0" fontId="0" fillId="21" borderId="13" xfId="0" applyFill="1" applyBorder="1" applyAlignment="1"/>
    <xf numFmtId="0" fontId="0" fillId="21" borderId="14" xfId="0" applyFill="1" applyBorder="1" applyAlignment="1"/>
    <xf numFmtId="0" fontId="0" fillId="23" borderId="13" xfId="0" applyFill="1" applyBorder="1" applyAlignment="1">
      <alignment horizontal="center"/>
    </xf>
    <xf numFmtId="0" fontId="0" fillId="23" borderId="14" xfId="0" applyFont="1" applyFill="1" applyBorder="1" applyAlignment="1">
      <alignment horizontal="center" vertical="center"/>
    </xf>
    <xf numFmtId="0" fontId="0" fillId="23" borderId="14" xfId="0" applyFill="1" applyBorder="1" applyAlignment="1">
      <alignment horizontal="center"/>
    </xf>
    <xf numFmtId="2" fontId="0" fillId="23" borderId="14" xfId="0" applyNumberFormat="1" applyFont="1" applyFill="1" applyBorder="1" applyAlignment="1">
      <alignment horizontal="center" vertical="center"/>
    </xf>
    <xf numFmtId="0" fontId="0" fillId="23" borderId="15" xfId="0" applyFont="1" applyFill="1" applyBorder="1" applyAlignment="1">
      <alignment horizontal="center" vertical="center"/>
    </xf>
    <xf numFmtId="0" fontId="0" fillId="23" borderId="14" xfId="0" applyFill="1" applyBorder="1" applyAlignment="1">
      <alignment horizontal="left"/>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18"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2" xfId="0" applyFont="1" applyFill="1" applyBorder="1" applyAlignment="1">
      <alignment horizontal="center" vertical="center"/>
    </xf>
    <xf numFmtId="0" fontId="18" fillId="7" borderId="11" xfId="0" applyFont="1" applyFill="1" applyBorder="1" applyAlignment="1">
      <alignment horizontal="center" vertical="center" wrapText="1"/>
    </xf>
    <xf numFmtId="2" fontId="5" fillId="0" borderId="1" xfId="0" applyNumberFormat="1" applyFont="1" applyBorder="1" applyAlignment="1">
      <alignment horizontal="center" vertical="center"/>
    </xf>
    <xf numFmtId="2" fontId="5" fillId="6" borderId="1" xfId="0" applyNumberFormat="1" applyFont="1" applyFill="1" applyBorder="1" applyAlignment="1">
      <alignment horizontal="center" vertical="center"/>
    </xf>
    <xf numFmtId="0" fontId="18" fillId="7" borderId="2" xfId="0" applyFont="1" applyFill="1" applyBorder="1" applyAlignment="1">
      <alignment horizontal="center" vertical="center"/>
    </xf>
    <xf numFmtId="2" fontId="5" fillId="0" borderId="1" xfId="0" applyNumberFormat="1" applyFont="1" applyBorder="1" applyAlignment="1">
      <alignment horizontal="center" vertical="center"/>
    </xf>
    <xf numFmtId="2" fontId="5" fillId="6" borderId="1" xfId="0" applyNumberFormat="1" applyFont="1" applyFill="1" applyBorder="1" applyAlignment="1">
      <alignment horizontal="center" vertical="center"/>
    </xf>
    <xf numFmtId="0" fontId="53" fillId="0" borderId="0" xfId="0" applyFont="1" applyFill="1" applyBorder="1" applyAlignment="1">
      <alignment vertical="center"/>
    </xf>
    <xf numFmtId="0" fontId="124" fillId="0" borderId="0" xfId="0" applyFont="1" applyFill="1" applyBorder="1" applyAlignment="1">
      <alignment vertical="center" textRotation="90"/>
    </xf>
    <xf numFmtId="0" fontId="0" fillId="0" borderId="0" xfId="0" applyAlignment="1">
      <alignment horizontal="center" vertical="center" textRotation="90"/>
    </xf>
    <xf numFmtId="2" fontId="8" fillId="0" borderId="0" xfId="0" applyNumberFormat="1" applyFont="1" applyFill="1" applyBorder="1" applyAlignment="1">
      <alignment vertical="center"/>
    </xf>
    <xf numFmtId="2" fontId="6" fillId="0" borderId="0" xfId="0" applyNumberFormat="1" applyFont="1" applyFill="1" applyBorder="1" applyAlignment="1">
      <alignment vertical="center" wrapText="1"/>
    </xf>
    <xf numFmtId="0" fontId="125" fillId="0" borderId="0" xfId="0" applyFont="1" applyFill="1" applyBorder="1" applyAlignment="1">
      <alignment vertical="center" textRotation="90"/>
    </xf>
    <xf numFmtId="2" fontId="15" fillId="0" borderId="0" xfId="0" applyNumberFormat="1" applyFont="1" applyFill="1" applyBorder="1" applyAlignment="1">
      <alignment vertical="center" textRotation="90" wrapText="1"/>
    </xf>
    <xf numFmtId="2" fontId="91" fillId="0" borderId="2" xfId="0" applyNumberFormat="1" applyFont="1" applyFill="1" applyBorder="1" applyAlignment="1">
      <alignment horizontal="left" vertical="top"/>
    </xf>
    <xf numFmtId="0" fontId="0" fillId="23" borderId="0" xfId="0" applyFill="1"/>
    <xf numFmtId="0" fontId="120" fillId="23" borderId="0" xfId="0" applyFont="1" applyFill="1"/>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2" fontId="0" fillId="0" borderId="12" xfId="0" applyNumberFormat="1" applyBorder="1" applyAlignment="1">
      <alignment horizontal="center" vertical="center"/>
    </xf>
    <xf numFmtId="2" fontId="5" fillId="0" borderId="1" xfId="0" applyNumberFormat="1" applyFont="1" applyBorder="1" applyAlignment="1">
      <alignment horizontal="center" vertical="center"/>
    </xf>
    <xf numFmtId="2" fontId="5" fillId="6" borderId="1" xfId="0" applyNumberFormat="1" applyFont="1" applyFill="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120" fillId="0" borderId="0" xfId="0" applyFont="1" applyFill="1" applyBorder="1" applyAlignment="1">
      <alignment horizontal="center" vertical="center"/>
    </xf>
    <xf numFmtId="0" fontId="53" fillId="0" borderId="0" xfId="0" applyFont="1" applyFill="1" applyBorder="1" applyAlignment="1">
      <alignment vertical="center" wrapText="1"/>
    </xf>
    <xf numFmtId="2" fontId="6" fillId="0" borderId="0" xfId="0" applyNumberFormat="1" applyFont="1" applyFill="1" applyBorder="1" applyAlignment="1">
      <alignment horizontal="center" vertical="center" wrapText="1"/>
    </xf>
    <xf numFmtId="2" fontId="91" fillId="0" borderId="0" xfId="0" applyNumberFormat="1" applyFont="1" applyFill="1" applyBorder="1" applyAlignment="1">
      <alignment horizontal="left" vertical="top"/>
    </xf>
    <xf numFmtId="2" fontId="0" fillId="0" borderId="0" xfId="0" applyNumberFormat="1" applyProtection="1"/>
    <xf numFmtId="2" fontId="0" fillId="0" borderId="13" xfId="0" applyNumberFormat="1" applyBorder="1" applyAlignment="1">
      <alignment vertical="center"/>
    </xf>
    <xf numFmtId="0" fontId="0" fillId="0" borderId="14" xfId="0" applyBorder="1" applyAlignment="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6" fillId="7" borderId="10" xfId="0" applyFont="1" applyFill="1" applyBorder="1" applyAlignment="1">
      <alignment horizontal="center" vertical="center"/>
    </xf>
    <xf numFmtId="0" fontId="6" fillId="7" borderId="12" xfId="0" applyFont="1" applyFill="1"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8" fillId="7" borderId="12" xfId="0" applyFont="1" applyFill="1" applyBorder="1" applyAlignment="1">
      <alignment horizontal="center" vertical="center"/>
    </xf>
    <xf numFmtId="2" fontId="6" fillId="5" borderId="1" xfId="0" applyNumberFormat="1" applyFont="1" applyFill="1" applyBorder="1" applyAlignment="1">
      <alignment horizontal="center" vertical="center"/>
    </xf>
    <xf numFmtId="0" fontId="3" fillId="7" borderId="5" xfId="0" applyFont="1" applyFill="1" applyBorder="1" applyAlignment="1">
      <alignment horizontal="center" vertical="center"/>
    </xf>
    <xf numFmtId="0" fontId="5" fillId="0" borderId="11"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6" fillId="7" borderId="10" xfId="0" applyFont="1" applyFill="1" applyBorder="1" applyAlignment="1">
      <alignment horizontal="center" vertical="center"/>
    </xf>
    <xf numFmtId="0" fontId="6" fillId="7" borderId="12" xfId="0" applyFont="1" applyFill="1"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8" fillId="7" borderId="12" xfId="0" applyFont="1" applyFill="1" applyBorder="1" applyAlignment="1">
      <alignment horizontal="center" vertical="center"/>
    </xf>
    <xf numFmtId="2" fontId="6" fillId="5" borderId="1" xfId="0" applyNumberFormat="1" applyFont="1" applyFill="1" applyBorder="1" applyAlignment="1">
      <alignment horizontal="center" vertical="center"/>
    </xf>
    <xf numFmtId="0" fontId="3" fillId="7" borderId="5" xfId="0" applyFont="1" applyFill="1" applyBorder="1" applyAlignment="1">
      <alignment horizontal="center" vertical="center"/>
    </xf>
    <xf numFmtId="166" fontId="5" fillId="0" borderId="12" xfId="0" applyNumberFormat="1" applyFont="1" applyBorder="1" applyAlignment="1">
      <alignment horizontal="center" vertical="center"/>
    </xf>
    <xf numFmtId="166" fontId="0" fillId="0" borderId="0" xfId="0" applyNumberFormat="1"/>
    <xf numFmtId="2" fontId="5" fillId="0" borderId="1" xfId="0" applyNumberFormat="1" applyFont="1" applyBorder="1" applyAlignment="1">
      <alignment horizontal="center" vertical="center"/>
    </xf>
    <xf numFmtId="0" fontId="5" fillId="0" borderId="0" xfId="0" applyFont="1" applyBorder="1" applyAlignment="1">
      <alignment horizontal="left" vertical="center"/>
    </xf>
    <xf numFmtId="0" fontId="15" fillId="7" borderId="13" xfId="0" applyFont="1" applyFill="1" applyBorder="1" applyAlignment="1">
      <alignment horizontal="center" vertical="center"/>
    </xf>
    <xf numFmtId="0" fontId="15" fillId="7" borderId="15" xfId="0" applyFont="1" applyFill="1"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2" fontId="5" fillId="6" borderId="1" xfId="0" applyNumberFormat="1" applyFont="1" applyFill="1" applyBorder="1" applyAlignment="1">
      <alignment horizontal="center" vertical="center"/>
    </xf>
    <xf numFmtId="0" fontId="15" fillId="7" borderId="14" xfId="0" applyFont="1" applyFill="1" applyBorder="1" applyAlignment="1">
      <alignment horizontal="center"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2" xfId="0" applyFont="1" applyBorder="1" applyAlignment="1">
      <alignment horizontal="lef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2" fontId="5" fillId="0" borderId="1" xfId="0" applyNumberFormat="1" applyFont="1" applyBorder="1" applyAlignment="1">
      <alignment horizontal="center" vertical="center"/>
    </xf>
    <xf numFmtId="0" fontId="8" fillId="0" borderId="0" xfId="0" applyFont="1" applyAlignment="1">
      <alignment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18" fillId="7" borderId="12" xfId="0" applyFont="1" applyFill="1" applyBorder="1" applyAlignment="1">
      <alignment horizontal="center" vertical="center"/>
    </xf>
    <xf numFmtId="0" fontId="18" fillId="7" borderId="1" xfId="0" applyFont="1" applyFill="1" applyBorder="1" applyAlignment="1">
      <alignment horizontal="center" vertical="center"/>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7" xfId="0" applyFont="1" applyFill="1" applyBorder="1" applyAlignment="1">
      <alignment horizontal="center" vertical="center"/>
    </xf>
    <xf numFmtId="1" fontId="0" fillId="0" borderId="13" xfId="0" applyNumberFormat="1" applyBorder="1" applyAlignment="1">
      <alignment horizontal="center"/>
    </xf>
    <xf numFmtId="0" fontId="0" fillId="23" borderId="3" xfId="0" applyFill="1" applyBorder="1" applyAlignment="1">
      <alignment horizontal="center"/>
    </xf>
    <xf numFmtId="0" fontId="0" fillId="23" borderId="2" xfId="0" applyFill="1" applyBorder="1" applyAlignment="1">
      <alignment horizontal="center"/>
    </xf>
    <xf numFmtId="2" fontId="0" fillId="23" borderId="10" xfId="0" applyNumberFormat="1" applyFont="1" applyFill="1" applyBorder="1" applyAlignment="1">
      <alignment horizontal="center" vertical="center"/>
    </xf>
    <xf numFmtId="2" fontId="0" fillId="23" borderId="12" xfId="0" applyNumberFormat="1" applyFont="1" applyFill="1" applyBorder="1" applyAlignment="1">
      <alignment horizontal="center" vertical="center"/>
    </xf>
    <xf numFmtId="2" fontId="0" fillId="0" borderId="0" xfId="0" applyNumberFormat="1" applyBorder="1" applyAlignment="1">
      <alignment horizontal="center"/>
    </xf>
    <xf numFmtId="1" fontId="0" fillId="0" borderId="13" xfId="0" applyNumberFormat="1" applyBorder="1" applyAlignment="1">
      <alignment horizontal="center"/>
    </xf>
    <xf numFmtId="0" fontId="3" fillId="0" borderId="1" xfId="0" applyFont="1" applyBorder="1" applyAlignment="1">
      <alignment horizontal="center" vertical="center"/>
    </xf>
    <xf numFmtId="165" fontId="0" fillId="0" borderId="4" xfId="0" applyNumberFormat="1" applyBorder="1"/>
    <xf numFmtId="1" fontId="0" fillId="0" borderId="4" xfId="0" applyNumberFormat="1" applyBorder="1"/>
    <xf numFmtId="0" fontId="0" fillId="0" borderId="1" xfId="0" applyBorder="1"/>
    <xf numFmtId="0" fontId="0" fillId="0" borderId="55" xfId="0" applyBorder="1"/>
    <xf numFmtId="0" fontId="0" fillId="0" borderId="56" xfId="0" applyBorder="1"/>
    <xf numFmtId="0" fontId="8" fillId="0" borderId="0" xfId="0" applyFont="1" applyBorder="1"/>
    <xf numFmtId="0" fontId="0" fillId="34" borderId="1" xfId="0" applyFill="1" applyBorder="1"/>
    <xf numFmtId="0" fontId="8" fillId="0" borderId="0" xfId="0" applyFont="1" applyBorder="1" applyAlignment="1"/>
    <xf numFmtId="165" fontId="0" fillId="0" borderId="1" xfId="0" applyNumberFormat="1" applyBorder="1"/>
    <xf numFmtId="0" fontId="128" fillId="0" borderId="0" xfId="0" applyFont="1" applyBorder="1"/>
    <xf numFmtId="2" fontId="0" fillId="34" borderId="1" xfId="0" applyNumberFormat="1" applyFill="1" applyBorder="1"/>
    <xf numFmtId="0" fontId="0" fillId="0" borderId="57" xfId="0" applyBorder="1"/>
    <xf numFmtId="0" fontId="0" fillId="0" borderId="35" xfId="0" applyBorder="1"/>
    <xf numFmtId="0" fontId="0" fillId="0" borderId="58"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59" xfId="0" applyBorder="1"/>
    <xf numFmtId="2" fontId="0" fillId="0" borderId="59" xfId="0" applyNumberFormat="1" applyBorder="1"/>
    <xf numFmtId="0" fontId="0" fillId="0" borderId="40" xfId="0" applyBorder="1"/>
    <xf numFmtId="0" fontId="130" fillId="0" borderId="1" xfId="0" applyNumberFormat="1" applyFont="1" applyFill="1" applyBorder="1" applyAlignment="1" applyProtection="1">
      <alignment horizontal="left" vertical="top"/>
    </xf>
    <xf numFmtId="0" fontId="130" fillId="0" borderId="1" xfId="0" applyNumberFormat="1" applyFont="1" applyFill="1" applyBorder="1" applyAlignment="1" applyProtection="1">
      <alignment horizontal="center" vertical="top"/>
    </xf>
    <xf numFmtId="0" fontId="3" fillId="0" borderId="50" xfId="0" applyFont="1" applyBorder="1" applyAlignment="1">
      <alignment horizontal="center" vertical="center" wrapText="1"/>
    </xf>
    <xf numFmtId="0" fontId="87" fillId="0" borderId="1" xfId="0" applyNumberFormat="1" applyFont="1" applyFill="1" applyBorder="1" applyAlignment="1" applyProtection="1">
      <alignment horizontal="center" vertical="center" wrapText="1"/>
    </xf>
    <xf numFmtId="0" fontId="130" fillId="0" borderId="1" xfId="0" applyNumberFormat="1" applyFont="1" applyFill="1" applyBorder="1" applyAlignment="1" applyProtection="1">
      <alignment horizontal="center" vertical="center"/>
    </xf>
    <xf numFmtId="0" fontId="19" fillId="0" borderId="4" xfId="0" applyFont="1" applyBorder="1" applyAlignment="1"/>
    <xf numFmtId="0" fontId="28" fillId="0" borderId="0" xfId="0" applyFont="1" applyFill="1" applyBorder="1" applyAlignment="1">
      <alignment vertical="top"/>
    </xf>
    <xf numFmtId="0" fontId="3" fillId="0" borderId="0" xfId="0" applyFont="1" applyFill="1" applyBorder="1" applyAlignment="1">
      <alignment vertical="top"/>
    </xf>
    <xf numFmtId="0" fontId="0" fillId="0" borderId="3" xfId="0" applyBorder="1"/>
    <xf numFmtId="0" fontId="0" fillId="0" borderId="5" xfId="0" applyBorder="1"/>
    <xf numFmtId="0" fontId="7" fillId="0" borderId="1" xfId="0" applyFont="1" applyBorder="1" applyAlignment="1">
      <alignment wrapText="1"/>
    </xf>
    <xf numFmtId="0" fontId="8" fillId="0" borderId="1" xfId="0" applyFont="1" applyBorder="1" applyAlignment="1">
      <alignment wrapText="1"/>
    </xf>
    <xf numFmtId="0" fontId="8" fillId="0" borderId="1" xfId="0" applyFont="1" applyBorder="1" applyAlignment="1">
      <alignment horizontal="center" vertical="center" wrapText="1"/>
    </xf>
    <xf numFmtId="2" fontId="8" fillId="0" borderId="1" xfId="0" applyNumberFormat="1" applyFont="1" applyBorder="1" applyAlignment="1">
      <alignment wrapText="1"/>
    </xf>
    <xf numFmtId="1" fontId="8" fillId="0" borderId="1" xfId="0" applyNumberFormat="1" applyFont="1" applyBorder="1" applyAlignment="1">
      <alignment wrapText="1"/>
    </xf>
    <xf numFmtId="0" fontId="0" fillId="0" borderId="11" xfId="0" applyBorder="1"/>
    <xf numFmtId="0" fontId="8" fillId="0" borderId="12" xfId="0" applyFont="1" applyBorder="1" applyAlignment="1">
      <alignment horizontal="center" vertical="center" wrapText="1"/>
    </xf>
    <xf numFmtId="0" fontId="7" fillId="0" borderId="11" xfId="0" applyFont="1" applyFill="1" applyBorder="1" applyAlignment="1">
      <alignment wrapText="1"/>
    </xf>
    <xf numFmtId="0" fontId="129" fillId="0" borderId="1" xfId="0" applyFont="1" applyBorder="1"/>
    <xf numFmtId="0" fontId="3" fillId="0" borderId="1" xfId="0" applyFont="1" applyBorder="1" applyAlignment="1">
      <alignment horizontal="center" vertical="center" wrapText="1"/>
    </xf>
    <xf numFmtId="169" fontId="0" fillId="0" borderId="1" xfId="0" applyNumberFormat="1" applyBorder="1"/>
    <xf numFmtId="0" fontId="0" fillId="0" borderId="1" xfId="0" applyFill="1" applyBorder="1"/>
    <xf numFmtId="0" fontId="7" fillId="0" borderId="13" xfId="0" applyFont="1" applyBorder="1"/>
    <xf numFmtId="0" fontId="8" fillId="0" borderId="12" xfId="0" applyFont="1" applyFill="1" applyBorder="1" applyAlignment="1">
      <alignment wrapText="1"/>
    </xf>
    <xf numFmtId="0" fontId="7" fillId="0" borderId="12" xfId="0" applyFont="1" applyFill="1" applyBorder="1" applyAlignment="1">
      <alignment wrapText="1"/>
    </xf>
    <xf numFmtId="0" fontId="134" fillId="0" borderId="12" xfId="0" applyFont="1" applyFill="1" applyBorder="1" applyAlignment="1">
      <alignment horizontal="center" vertical="center" wrapText="1"/>
    </xf>
    <xf numFmtId="0" fontId="7" fillId="0" borderId="12" xfId="0" applyFont="1" applyBorder="1" applyAlignment="1">
      <alignment wrapText="1"/>
    </xf>
    <xf numFmtId="0" fontId="110" fillId="0" borderId="3" xfId="0" applyFont="1" applyBorder="1" applyAlignment="1">
      <alignment horizontal="center" vertical="center"/>
    </xf>
    <xf numFmtId="0" fontId="110" fillId="0" borderId="4" xfId="0" applyFont="1" applyBorder="1" applyAlignment="1">
      <alignment horizontal="center" vertical="center"/>
    </xf>
    <xf numFmtId="0" fontId="110" fillId="0" borderId="5" xfId="0" applyFont="1" applyBorder="1" applyAlignment="1">
      <alignment horizontal="center" vertical="center"/>
    </xf>
    <xf numFmtId="0" fontId="110" fillId="0" borderId="2" xfId="0" applyFont="1" applyBorder="1" applyAlignment="1">
      <alignment horizontal="center" vertical="center"/>
    </xf>
    <xf numFmtId="0" fontId="110" fillId="0" borderId="0" xfId="0" applyFont="1" applyBorder="1" applyAlignment="1">
      <alignment horizontal="center" vertical="center"/>
    </xf>
    <xf numFmtId="0" fontId="110" fillId="0" borderId="6" xfId="0" applyFont="1" applyBorder="1" applyAlignment="1">
      <alignment horizontal="center" vertical="center"/>
    </xf>
    <xf numFmtId="0" fontId="110" fillId="0" borderId="7" xfId="0" applyFont="1" applyBorder="1" applyAlignment="1">
      <alignment horizontal="center" vertical="center"/>
    </xf>
    <xf numFmtId="0" fontId="110" fillId="0" borderId="8" xfId="0" applyFont="1" applyBorder="1" applyAlignment="1">
      <alignment horizontal="center" vertical="center"/>
    </xf>
    <xf numFmtId="0" fontId="110" fillId="0" borderId="9" xfId="0" applyFont="1" applyBorder="1" applyAlignment="1">
      <alignment horizontal="center" vertical="center"/>
    </xf>
    <xf numFmtId="0" fontId="56" fillId="4" borderId="2" xfId="0" applyFont="1" applyFill="1" applyBorder="1" applyAlignment="1">
      <alignment horizontal="center" vertical="center" wrapText="1"/>
    </xf>
    <xf numFmtId="0" fontId="56" fillId="4" borderId="0" xfId="0" applyFont="1" applyFill="1" applyBorder="1" applyAlignment="1">
      <alignment horizontal="center" vertical="center" wrapText="1"/>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5" fillId="3" borderId="1" xfId="0" applyFont="1" applyFill="1" applyBorder="1" applyAlignment="1">
      <alignment horizontal="center" vertical="center"/>
    </xf>
    <xf numFmtId="0" fontId="1" fillId="14" borderId="5" xfId="0" applyFont="1" applyFill="1" applyBorder="1" applyAlignment="1">
      <alignment horizontal="center" vertical="center" textRotation="90"/>
    </xf>
    <xf numFmtId="0" fontId="1" fillId="14" borderId="6" xfId="0" applyFont="1" applyFill="1" applyBorder="1" applyAlignment="1">
      <alignment horizontal="center" vertical="center" textRotation="90"/>
    </xf>
    <xf numFmtId="0" fontId="1" fillId="14" borderId="9" xfId="0" applyFont="1" applyFill="1" applyBorder="1" applyAlignment="1">
      <alignment horizontal="center" vertical="center" textRotation="90"/>
    </xf>
    <xf numFmtId="0" fontId="1" fillId="5" borderId="10" xfId="0" applyFont="1" applyFill="1" applyBorder="1" applyAlignment="1">
      <alignment horizontal="center" vertical="center" textRotation="90"/>
    </xf>
    <xf numFmtId="0" fontId="1" fillId="5" borderId="11" xfId="0" applyFont="1" applyFill="1" applyBorder="1" applyAlignment="1">
      <alignment horizontal="center" vertical="center" textRotation="90"/>
    </xf>
    <xf numFmtId="0" fontId="1" fillId="5" borderId="12" xfId="0" applyFont="1" applyFill="1" applyBorder="1" applyAlignment="1">
      <alignment horizontal="center" vertical="center" textRotation="90"/>
    </xf>
    <xf numFmtId="0" fontId="1" fillId="25" borderId="10" xfId="0" applyFont="1" applyFill="1" applyBorder="1" applyAlignment="1">
      <alignment horizontal="center" vertical="center" textRotation="90"/>
    </xf>
    <xf numFmtId="0" fontId="1" fillId="25" borderId="11" xfId="0" applyFont="1" applyFill="1" applyBorder="1" applyAlignment="1">
      <alignment horizontal="center" vertical="center" textRotation="90"/>
    </xf>
    <xf numFmtId="0" fontId="1" fillId="25" borderId="12" xfId="0" applyFont="1" applyFill="1" applyBorder="1" applyAlignment="1">
      <alignment horizontal="center" vertical="center" textRotation="90"/>
    </xf>
    <xf numFmtId="0" fontId="1" fillId="14" borderId="1" xfId="0" applyFont="1" applyFill="1" applyBorder="1" applyAlignment="1">
      <alignment horizontal="center" vertical="center" textRotation="90"/>
    </xf>
    <xf numFmtId="0" fontId="2" fillId="5" borderId="1" xfId="0" applyFont="1" applyFill="1" applyBorder="1" applyAlignment="1">
      <alignment horizontal="center" vertical="center" textRotation="90"/>
    </xf>
    <xf numFmtId="0" fontId="1" fillId="5" borderId="1" xfId="0" applyFont="1" applyFill="1" applyBorder="1" applyAlignment="1">
      <alignment horizontal="center" vertical="center" textRotation="90"/>
    </xf>
    <xf numFmtId="0" fontId="1" fillId="25" borderId="1" xfId="0" applyFont="1" applyFill="1" applyBorder="1" applyAlignment="1">
      <alignment horizontal="center" vertical="center" textRotation="90"/>
    </xf>
    <xf numFmtId="0" fontId="53" fillId="4" borderId="3" xfId="0" applyFont="1" applyFill="1" applyBorder="1" applyAlignment="1">
      <alignment horizontal="center" vertical="center" wrapText="1"/>
    </xf>
    <xf numFmtId="0" fontId="53" fillId="4" borderId="4" xfId="0" applyFont="1" applyFill="1" applyBorder="1" applyAlignment="1">
      <alignment horizontal="center" vertical="center" wrapText="1"/>
    </xf>
    <xf numFmtId="0" fontId="53" fillId="4" borderId="5" xfId="0" applyFont="1" applyFill="1" applyBorder="1" applyAlignment="1">
      <alignment horizontal="center" vertical="center" wrapText="1"/>
    </xf>
    <xf numFmtId="0" fontId="53" fillId="4" borderId="7" xfId="0" applyFont="1" applyFill="1" applyBorder="1" applyAlignment="1">
      <alignment horizontal="center" vertical="center" wrapText="1"/>
    </xf>
    <xf numFmtId="0" fontId="53" fillId="4" borderId="8" xfId="0" applyFont="1" applyFill="1" applyBorder="1" applyAlignment="1">
      <alignment horizontal="center" vertical="center" wrapText="1"/>
    </xf>
    <xf numFmtId="0" fontId="53" fillId="4" borderId="9" xfId="0" applyFont="1" applyFill="1" applyBorder="1" applyAlignment="1">
      <alignment horizontal="center" vertical="center" wrapText="1"/>
    </xf>
    <xf numFmtId="0" fontId="56" fillId="4" borderId="7" xfId="0" applyFont="1" applyFill="1" applyBorder="1" applyAlignment="1">
      <alignment horizontal="center" vertical="center" wrapText="1"/>
    </xf>
    <xf numFmtId="0" fontId="56" fillId="4" borderId="8" xfId="0" applyFont="1" applyFill="1" applyBorder="1" applyAlignment="1">
      <alignment horizontal="center" vertical="center" wrapText="1"/>
    </xf>
    <xf numFmtId="0" fontId="56" fillId="4" borderId="9"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5" fillId="7" borderId="7" xfId="0" applyFont="1" applyFill="1" applyBorder="1" applyAlignment="1">
      <alignment horizontal="center" vertical="center"/>
    </xf>
    <xf numFmtId="0" fontId="5" fillId="7" borderId="9"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5"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61" fillId="4" borderId="1"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6" xfId="0" applyFont="1" applyBorder="1" applyAlignment="1">
      <alignment horizontal="left" vertical="center"/>
    </xf>
    <xf numFmtId="0" fontId="56" fillId="4" borderId="3" xfId="0" applyFont="1" applyFill="1" applyBorder="1" applyAlignment="1">
      <alignment horizontal="center" vertical="center" wrapText="1"/>
    </xf>
    <xf numFmtId="0" fontId="56" fillId="4" borderId="5" xfId="0" applyFont="1" applyFill="1" applyBorder="1" applyAlignment="1">
      <alignment horizontal="center" vertical="center" wrapText="1"/>
    </xf>
    <xf numFmtId="0" fontId="56" fillId="4" borderId="6"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56" fillId="4"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23" fillId="24" borderId="41" xfId="0" applyFont="1" applyFill="1" applyBorder="1" applyAlignment="1">
      <alignment horizontal="center" vertical="center" textRotation="90" shrinkToFit="1"/>
    </xf>
    <xf numFmtId="0" fontId="23" fillId="24" borderId="6" xfId="0" applyFont="1" applyFill="1" applyBorder="1" applyAlignment="1">
      <alignment horizontal="center" vertical="center" textRotation="90" shrinkToFi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61" fillId="4" borderId="1" xfId="0" applyFont="1" applyFill="1" applyBorder="1" applyAlignment="1">
      <alignment horizontal="center" vertical="center" wrapText="1"/>
    </xf>
    <xf numFmtId="0" fontId="53" fillId="4" borderId="3" xfId="0" applyFont="1" applyFill="1" applyBorder="1" applyAlignment="1">
      <alignment horizontal="center" vertical="center"/>
    </xf>
    <xf numFmtId="0" fontId="53" fillId="4" borderId="4" xfId="0" applyFont="1" applyFill="1" applyBorder="1" applyAlignment="1">
      <alignment horizontal="center" vertical="center"/>
    </xf>
    <xf numFmtId="0" fontId="53" fillId="4" borderId="5"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6" fillId="5" borderId="2"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5" borderId="10" xfId="0" applyFont="1" applyFill="1" applyBorder="1" applyAlignment="1">
      <alignment horizontal="center" vertical="center" textRotation="90" wrapText="1"/>
    </xf>
    <xf numFmtId="0" fontId="15" fillId="5" borderId="11" xfId="0" applyFont="1" applyFill="1" applyBorder="1" applyAlignment="1">
      <alignment horizontal="center" vertical="center" textRotation="90" wrapText="1"/>
    </xf>
    <xf numFmtId="0" fontId="15" fillId="5" borderId="12" xfId="0" applyFont="1" applyFill="1" applyBorder="1" applyAlignment="1">
      <alignment horizontal="center" vertical="center" textRotation="90"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5" fillId="7" borderId="13" xfId="0" applyFont="1" applyFill="1" applyBorder="1" applyAlignment="1">
      <alignment horizontal="right" vertical="center"/>
    </xf>
    <xf numFmtId="0" fontId="15" fillId="7" borderId="14" xfId="0" applyFont="1" applyFill="1" applyBorder="1" applyAlignment="1">
      <alignment horizontal="right" vertical="center"/>
    </xf>
    <xf numFmtId="0" fontId="15" fillId="7" borderId="15" xfId="0" applyFont="1" applyFill="1" applyBorder="1" applyAlignment="1">
      <alignment horizontal="right" vertical="center"/>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7" borderId="10" xfId="0" applyFont="1" applyFill="1" applyBorder="1" applyAlignment="1">
      <alignment horizontal="center" vertical="center"/>
    </xf>
    <xf numFmtId="0" fontId="6" fillId="7" borderId="12" xfId="0" applyFont="1" applyFill="1" applyBorder="1" applyAlignment="1">
      <alignment horizontal="center" vertical="center"/>
    </xf>
    <xf numFmtId="0" fontId="53" fillId="4" borderId="13" xfId="0" applyFont="1" applyFill="1" applyBorder="1" applyAlignment="1">
      <alignment horizontal="center" vertical="center"/>
    </xf>
    <xf numFmtId="0" fontId="53" fillId="4" borderId="14" xfId="0" applyFont="1" applyFill="1" applyBorder="1" applyAlignment="1">
      <alignment horizontal="center" vertical="center"/>
    </xf>
    <xf numFmtId="0" fontId="53" fillId="4" borderId="15"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 fillId="14" borderId="10" xfId="0" applyFont="1" applyFill="1" applyBorder="1" applyAlignment="1">
      <alignment horizontal="center" vertical="center" textRotation="90"/>
    </xf>
    <xf numFmtId="0" fontId="1" fillId="14" borderId="11" xfId="0" applyFont="1" applyFill="1" applyBorder="1" applyAlignment="1">
      <alignment horizontal="center" vertical="center" textRotation="90"/>
    </xf>
    <xf numFmtId="0" fontId="1" fillId="14" borderId="12" xfId="0" applyFont="1" applyFill="1" applyBorder="1" applyAlignment="1">
      <alignment horizontal="center" vertical="center" textRotation="90"/>
    </xf>
    <xf numFmtId="0" fontId="2" fillId="5" borderId="10" xfId="0" applyFont="1" applyFill="1" applyBorder="1" applyAlignment="1">
      <alignment horizontal="center" vertical="center" textRotation="90"/>
    </xf>
    <xf numFmtId="0" fontId="2" fillId="5" borderId="11" xfId="0" applyFont="1" applyFill="1" applyBorder="1" applyAlignment="1">
      <alignment horizontal="center" vertical="center" textRotation="90"/>
    </xf>
    <xf numFmtId="0" fontId="2" fillId="5" borderId="12" xfId="0" applyFont="1" applyFill="1" applyBorder="1" applyAlignment="1">
      <alignment horizontal="center" vertical="center" textRotation="90"/>
    </xf>
    <xf numFmtId="0" fontId="1" fillId="23" borderId="10" xfId="0" applyFont="1" applyFill="1" applyBorder="1" applyAlignment="1">
      <alignment horizontal="center" vertical="center" textRotation="90"/>
    </xf>
    <xf numFmtId="0" fontId="1" fillId="23" borderId="11" xfId="0" applyFont="1" applyFill="1" applyBorder="1" applyAlignment="1">
      <alignment horizontal="center" vertical="center" textRotation="90"/>
    </xf>
    <xf numFmtId="0" fontId="1" fillId="23" borderId="12" xfId="0" applyFont="1" applyFill="1" applyBorder="1" applyAlignment="1">
      <alignment horizontal="center" vertical="center" textRotation="90"/>
    </xf>
    <xf numFmtId="0" fontId="1" fillId="23" borderId="1" xfId="0" applyFont="1" applyFill="1" applyBorder="1" applyAlignment="1">
      <alignment horizontal="center" vertical="center" textRotation="90"/>
    </xf>
    <xf numFmtId="0" fontId="18" fillId="7" borderId="15" xfId="0" applyFont="1" applyFill="1"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18"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2"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30" fillId="4" borderId="2" xfId="0" applyFont="1" applyFill="1" applyBorder="1" applyAlignment="1">
      <alignment horizontal="center" vertical="center"/>
    </xf>
    <xf numFmtId="0" fontId="30"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9"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7" xfId="0" applyFont="1" applyFill="1" applyBorder="1" applyAlignment="1">
      <alignment horizontal="center" vertical="center"/>
    </xf>
    <xf numFmtId="0" fontId="41" fillId="5" borderId="11" xfId="0" applyFont="1" applyFill="1" applyBorder="1" applyAlignment="1">
      <alignment horizontal="center" vertical="center" textRotation="90"/>
    </xf>
    <xf numFmtId="0" fontId="41" fillId="5" borderId="12" xfId="0" applyFont="1" applyFill="1" applyBorder="1" applyAlignment="1">
      <alignment horizontal="center" vertical="center" textRotation="90"/>
    </xf>
    <xf numFmtId="2" fontId="8" fillId="0" borderId="10" xfId="0" applyNumberFormat="1" applyFont="1" applyBorder="1" applyAlignment="1">
      <alignment horizontal="center" vertical="center"/>
    </xf>
    <xf numFmtId="2" fontId="8" fillId="0" borderId="11" xfId="0" applyNumberFormat="1" applyFont="1" applyBorder="1" applyAlignment="1">
      <alignment horizontal="center" vertical="center"/>
    </xf>
    <xf numFmtId="2" fontId="8" fillId="0" borderId="12" xfId="0" applyNumberFormat="1"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7" fillId="4" borderId="2" xfId="0" applyFont="1" applyFill="1" applyBorder="1" applyAlignment="1">
      <alignment horizontal="center" vertical="center"/>
    </xf>
    <xf numFmtId="0" fontId="27" fillId="4" borderId="6"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2" fontId="42" fillId="0" borderId="10" xfId="1" applyNumberFormat="1" applyFont="1" applyFill="1" applyBorder="1" applyAlignment="1">
      <alignment horizontal="center" vertical="center" wrapText="1"/>
    </xf>
    <xf numFmtId="2" fontId="42" fillId="0" borderId="11" xfId="1" applyNumberFormat="1" applyFont="1" applyFill="1" applyBorder="1" applyAlignment="1">
      <alignment horizontal="center" vertical="center" wrapText="1"/>
    </xf>
    <xf numFmtId="2" fontId="42" fillId="0" borderId="12" xfId="1" applyNumberFormat="1" applyFont="1" applyFill="1" applyBorder="1" applyAlignment="1">
      <alignment horizontal="center" vertical="center" wrapText="1"/>
    </xf>
    <xf numFmtId="2" fontId="0" fillId="0" borderId="10" xfId="0" applyNumberFormat="1" applyFont="1" applyBorder="1" applyAlignment="1">
      <alignment horizontal="center" vertical="center"/>
    </xf>
    <xf numFmtId="2" fontId="0" fillId="0" borderId="11" xfId="0" applyNumberFormat="1" applyFont="1" applyBorder="1" applyAlignment="1">
      <alignment horizontal="center" vertical="center"/>
    </xf>
    <xf numFmtId="2" fontId="0" fillId="0" borderId="12" xfId="0" applyNumberFormat="1" applyFont="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9" fillId="0" borderId="0" xfId="0" applyFont="1" applyFill="1" applyBorder="1" applyAlignment="1">
      <alignment horizontal="left" vertical="center"/>
    </xf>
    <xf numFmtId="0" fontId="27" fillId="4" borderId="0" xfId="0" applyFont="1" applyFill="1" applyBorder="1" applyAlignment="1">
      <alignment horizontal="center" vertical="center"/>
    </xf>
    <xf numFmtId="0" fontId="25" fillId="4" borderId="2" xfId="0" applyFont="1" applyFill="1" applyBorder="1" applyAlignment="1">
      <alignment horizontal="center" vertical="center"/>
    </xf>
    <xf numFmtId="0" fontId="25" fillId="4" borderId="0" xfId="0" applyFont="1" applyFill="1" applyBorder="1" applyAlignment="1">
      <alignment horizontal="center" vertical="center"/>
    </xf>
    <xf numFmtId="0" fontId="61" fillId="4" borderId="13" xfId="0" applyFont="1" applyFill="1" applyBorder="1" applyAlignment="1">
      <alignment horizontal="center" vertical="center"/>
    </xf>
    <xf numFmtId="0" fontId="61" fillId="4" borderId="14" xfId="0" applyFont="1" applyFill="1" applyBorder="1" applyAlignment="1">
      <alignment horizontal="center" vertical="center"/>
    </xf>
    <xf numFmtId="0" fontId="61" fillId="4" borderId="15" xfId="0" applyFont="1" applyFill="1" applyBorder="1" applyAlignment="1">
      <alignment horizontal="center" vertical="center"/>
    </xf>
    <xf numFmtId="0" fontId="34" fillId="7" borderId="10" xfId="1" applyFont="1" applyFill="1" applyBorder="1" applyAlignment="1">
      <alignment horizontal="center" vertical="center" wrapText="1"/>
    </xf>
    <xf numFmtId="0" fontId="34" fillId="7" borderId="12" xfId="1" applyFont="1" applyFill="1" applyBorder="1" applyAlignment="1">
      <alignment horizontal="center"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5" fillId="0" borderId="1" xfId="0" applyFont="1" applyBorder="1" applyAlignment="1">
      <alignment horizontal="center" vertical="center"/>
    </xf>
    <xf numFmtId="2" fontId="0" fillId="0" borderId="10" xfId="0" applyNumberFormat="1" applyBorder="1" applyAlignment="1">
      <alignment horizontal="center" vertical="center"/>
    </xf>
    <xf numFmtId="2" fontId="0" fillId="0" borderId="11" xfId="0" applyNumberFormat="1" applyBorder="1" applyAlignment="1">
      <alignment horizontal="center" vertical="center"/>
    </xf>
    <xf numFmtId="2" fontId="0" fillId="0" borderId="12" xfId="0" applyNumberFormat="1" applyBorder="1" applyAlignment="1">
      <alignment horizontal="center" vertical="center"/>
    </xf>
    <xf numFmtId="2" fontId="0" fillId="7" borderId="10" xfId="0" applyNumberFormat="1" applyFill="1" applyBorder="1" applyAlignment="1">
      <alignment horizontal="center" vertical="center"/>
    </xf>
    <xf numFmtId="2" fontId="0" fillId="7" borderId="12" xfId="0" applyNumberFormat="1" applyFill="1" applyBorder="1" applyAlignment="1">
      <alignment horizontal="center" vertical="center"/>
    </xf>
    <xf numFmtId="0" fontId="8" fillId="7" borderId="2" xfId="0" applyFont="1" applyFill="1" applyBorder="1" applyAlignment="1">
      <alignment horizontal="center" vertical="center"/>
    </xf>
    <xf numFmtId="0" fontId="18" fillId="7" borderId="11" xfId="0" applyFont="1" applyFill="1" applyBorder="1" applyAlignment="1">
      <alignment horizontal="center" vertical="center" wrapText="1"/>
    </xf>
    <xf numFmtId="0" fontId="26" fillId="4" borderId="11" xfId="0" applyFont="1" applyFill="1" applyBorder="1" applyAlignment="1">
      <alignment horizontal="center" vertical="center"/>
    </xf>
    <xf numFmtId="0" fontId="25" fillId="4" borderId="11" xfId="0" applyFont="1" applyFill="1" applyBorder="1" applyAlignment="1">
      <alignment horizontal="center" vertical="center"/>
    </xf>
    <xf numFmtId="0" fontId="41" fillId="5" borderId="10" xfId="0" applyFont="1" applyFill="1" applyBorder="1" applyAlignment="1">
      <alignment horizontal="center" vertical="center" textRotation="90"/>
    </xf>
    <xf numFmtId="0" fontId="34" fillId="7" borderId="11" xfId="1" applyFont="1" applyFill="1" applyBorder="1" applyAlignment="1">
      <alignment horizontal="center" vertical="center" wrapText="1"/>
    </xf>
    <xf numFmtId="0" fontId="18" fillId="7" borderId="5" xfId="0" applyFont="1" applyFill="1" applyBorder="1" applyAlignment="1">
      <alignment horizontal="center" vertical="center"/>
    </xf>
    <xf numFmtId="0" fontId="18" fillId="7" borderId="6" xfId="0" applyFont="1" applyFill="1" applyBorder="1" applyAlignment="1">
      <alignment horizontal="center" vertical="center"/>
    </xf>
    <xf numFmtId="0" fontId="18" fillId="7" borderId="9" xfId="0" applyFont="1" applyFill="1" applyBorder="1" applyAlignment="1">
      <alignment horizontal="center" vertical="center"/>
    </xf>
    <xf numFmtId="2" fontId="42" fillId="0" borderId="10" xfId="0" applyNumberFormat="1" applyFont="1" applyFill="1" applyBorder="1" applyAlignment="1">
      <alignment horizontal="center" vertical="center"/>
    </xf>
    <xf numFmtId="2" fontId="42" fillId="0" borderId="11" xfId="0" applyNumberFormat="1" applyFont="1" applyFill="1" applyBorder="1" applyAlignment="1">
      <alignment horizontal="center" vertical="center"/>
    </xf>
    <xf numFmtId="2" fontId="42" fillId="0" borderId="12" xfId="0" applyNumberFormat="1" applyFont="1" applyFill="1" applyBorder="1" applyAlignment="1">
      <alignment horizontal="center" vertical="center"/>
    </xf>
    <xf numFmtId="2" fontId="42" fillId="0" borderId="1" xfId="1" applyNumberFormat="1" applyFont="1" applyFill="1" applyBorder="1" applyAlignment="1">
      <alignment horizontal="center" vertical="center" wrapText="1"/>
    </xf>
    <xf numFmtId="2" fontId="41" fillId="0" borderId="1" xfId="0" applyNumberFormat="1" applyFont="1" applyFill="1" applyBorder="1" applyAlignment="1">
      <alignment horizontal="center" vertical="center"/>
    </xf>
    <xf numFmtId="0" fontId="1" fillId="5" borderId="4" xfId="0" applyFont="1" applyFill="1" applyBorder="1" applyAlignment="1">
      <alignment horizontal="center" vertical="center" textRotation="90"/>
    </xf>
    <xf numFmtId="0" fontId="1" fillId="5" borderId="0" xfId="0" applyFont="1" applyFill="1" applyBorder="1" applyAlignment="1">
      <alignment horizontal="center" vertical="center" textRotation="90"/>
    </xf>
    <xf numFmtId="0" fontId="1" fillId="25" borderId="4" xfId="0" applyFont="1" applyFill="1" applyBorder="1" applyAlignment="1">
      <alignment horizontal="center" vertical="center" textRotation="90"/>
    </xf>
    <xf numFmtId="0" fontId="1" fillId="25" borderId="0" xfId="0" applyFont="1" applyFill="1" applyBorder="1" applyAlignment="1">
      <alignment horizontal="center" vertical="center" textRotation="90"/>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9" xfId="0" applyFont="1" applyFill="1" applyBorder="1" applyAlignment="1">
      <alignment horizontal="center" vertical="center"/>
    </xf>
    <xf numFmtId="0" fontId="48" fillId="5" borderId="10" xfId="0" applyFont="1" applyFill="1" applyBorder="1" applyAlignment="1">
      <alignment horizontal="center" vertical="center" wrapText="1"/>
    </xf>
    <xf numFmtId="0" fontId="48" fillId="5" borderId="11" xfId="0" applyFont="1" applyFill="1" applyBorder="1" applyAlignment="1">
      <alignment horizontal="center" vertical="center" wrapText="1"/>
    </xf>
    <xf numFmtId="0" fontId="48" fillId="5" borderId="12" xfId="0" applyFont="1" applyFill="1" applyBorder="1" applyAlignment="1">
      <alignment horizontal="center" vertical="center" wrapText="1"/>
    </xf>
    <xf numFmtId="0" fontId="6" fillId="0" borderId="1" xfId="0" applyFont="1" applyBorder="1" applyAlignment="1">
      <alignment horizontal="center" vertical="center"/>
    </xf>
    <xf numFmtId="2" fontId="6" fillId="7" borderId="3" xfId="0" applyNumberFormat="1" applyFont="1" applyFill="1" applyBorder="1" applyAlignment="1">
      <alignment horizontal="center" vertical="center"/>
    </xf>
    <xf numFmtId="2" fontId="6" fillId="7" borderId="5" xfId="0" applyNumberFormat="1" applyFont="1" applyFill="1" applyBorder="1" applyAlignment="1">
      <alignment horizontal="center" vertical="center"/>
    </xf>
    <xf numFmtId="4" fontId="5" fillId="7" borderId="2" xfId="0" applyNumberFormat="1" applyFont="1" applyFill="1" applyBorder="1" applyAlignment="1">
      <alignment horizontal="center" vertical="center"/>
    </xf>
    <xf numFmtId="4" fontId="5" fillId="7" borderId="7" xfId="0" applyNumberFormat="1" applyFont="1" applyFill="1" applyBorder="1" applyAlignment="1">
      <alignment horizontal="center" vertical="center"/>
    </xf>
    <xf numFmtId="2" fontId="8" fillId="7" borderId="7" xfId="0" applyNumberFormat="1" applyFont="1" applyFill="1" applyBorder="1" applyAlignment="1">
      <alignment horizontal="center" vertical="center"/>
    </xf>
    <xf numFmtId="2" fontId="8" fillId="7" borderId="9"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2" fontId="8" fillId="7" borderId="2" xfId="0" applyNumberFormat="1" applyFont="1" applyFill="1" applyBorder="1" applyAlignment="1">
      <alignment horizontal="center" vertical="center"/>
    </xf>
    <xf numFmtId="2" fontId="8" fillId="7" borderId="6"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2" fontId="15" fillId="5" borderId="10" xfId="0" applyNumberFormat="1" applyFont="1" applyFill="1" applyBorder="1" applyAlignment="1">
      <alignment horizontal="center" vertical="center"/>
    </xf>
    <xf numFmtId="2" fontId="15" fillId="5" borderId="11" xfId="0" applyNumberFormat="1"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30" fillId="4" borderId="10" xfId="0" applyFont="1" applyFill="1" applyBorder="1" applyAlignment="1">
      <alignment horizontal="center" vertical="center"/>
    </xf>
    <xf numFmtId="0" fontId="30" fillId="4" borderId="11"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0" borderId="1" xfId="0" applyFont="1" applyBorder="1" applyAlignment="1">
      <alignment horizontal="center" vertical="center"/>
    </xf>
    <xf numFmtId="0" fontId="53" fillId="4" borderId="1" xfId="0" applyFont="1" applyFill="1" applyBorder="1" applyAlignment="1">
      <alignment horizontal="center" vertical="center"/>
    </xf>
    <xf numFmtId="0" fontId="9" fillId="5" borderId="1" xfId="0" applyFont="1" applyFill="1" applyBorder="1" applyAlignment="1">
      <alignment horizontal="center" vertical="center"/>
    </xf>
    <xf numFmtId="4" fontId="9" fillId="5" borderId="1" xfId="0" applyNumberFormat="1" applyFont="1" applyFill="1" applyBorder="1" applyAlignment="1">
      <alignment horizontal="center" vertical="center"/>
    </xf>
    <xf numFmtId="2" fontId="9" fillId="5" borderId="1" xfId="0" applyNumberFormat="1" applyFont="1" applyFill="1" applyBorder="1" applyAlignment="1">
      <alignment horizontal="center" vertical="center" wrapText="1"/>
    </xf>
    <xf numFmtId="2" fontId="9" fillId="5" borderId="1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1" fillId="0" borderId="0" xfId="0" applyFont="1" applyFill="1" applyBorder="1" applyAlignment="1">
      <alignment horizontal="center" vertical="center"/>
    </xf>
    <xf numFmtId="0" fontId="26" fillId="4" borderId="2" xfId="0" applyFont="1" applyFill="1" applyBorder="1" applyAlignment="1">
      <alignment horizontal="center" vertical="center"/>
    </xf>
    <xf numFmtId="0" fontId="26" fillId="4" borderId="0" xfId="0" applyFont="1" applyFill="1" applyBorder="1" applyAlignment="1">
      <alignment horizontal="center" vertical="center"/>
    </xf>
    <xf numFmtId="0" fontId="6" fillId="5" borderId="10" xfId="0" applyFont="1" applyFill="1" applyBorder="1" applyAlignment="1">
      <alignment horizontal="center" vertical="center" wrapText="1"/>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53" fillId="4" borderId="10" xfId="0" applyFont="1" applyFill="1" applyBorder="1" applyAlignment="1">
      <alignment horizontal="center" vertical="center"/>
    </xf>
    <xf numFmtId="2" fontId="9" fillId="5" borderId="12" xfId="0" applyNumberFormat="1" applyFont="1" applyFill="1" applyBorder="1" applyAlignment="1">
      <alignment horizontal="center" vertical="center" wrapText="1"/>
    </xf>
    <xf numFmtId="0" fontId="41" fillId="5" borderId="1" xfId="0" applyFont="1" applyFill="1" applyBorder="1" applyAlignment="1">
      <alignment horizontal="center" vertical="center" textRotation="90"/>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68" fillId="5" borderId="10" xfId="0" applyFont="1" applyFill="1" applyBorder="1" applyAlignment="1">
      <alignment horizontal="center" vertical="center" textRotation="90"/>
    </xf>
    <xf numFmtId="0" fontId="68" fillId="5" borderId="11" xfId="0" applyFont="1" applyFill="1" applyBorder="1" applyAlignment="1">
      <alignment horizontal="center" vertical="center" textRotation="90"/>
    </xf>
    <xf numFmtId="0" fontId="68" fillId="5" borderId="12" xfId="0" applyFont="1" applyFill="1" applyBorder="1" applyAlignment="1">
      <alignment horizontal="center" vertical="center" textRotation="90"/>
    </xf>
    <xf numFmtId="0" fontId="26" fillId="4" borderId="22" xfId="0" applyFont="1" applyFill="1" applyBorder="1" applyAlignment="1">
      <alignment horizontal="center" vertical="center"/>
    </xf>
    <xf numFmtId="0" fontId="26" fillId="4" borderId="24" xfId="0" applyFont="1" applyFill="1" applyBorder="1" applyAlignment="1">
      <alignment horizontal="center" vertical="center"/>
    </xf>
    <xf numFmtId="0" fontId="8" fillId="7" borderId="12" xfId="0" applyFont="1" applyFill="1" applyBorder="1" applyAlignment="1">
      <alignment horizontal="center" vertical="center"/>
    </xf>
    <xf numFmtId="0" fontId="41" fillId="5" borderId="27" xfId="0" applyFont="1" applyFill="1" applyBorder="1" applyAlignment="1">
      <alignment horizontal="center" vertical="center" textRotation="90"/>
    </xf>
    <xf numFmtId="0" fontId="41" fillId="5" borderId="22" xfId="0" applyFont="1" applyFill="1" applyBorder="1" applyAlignment="1">
      <alignment horizontal="center" vertical="center" textRotation="90"/>
    </xf>
    <xf numFmtId="0" fontId="41" fillId="5" borderId="28" xfId="0" applyFont="1" applyFill="1" applyBorder="1" applyAlignment="1">
      <alignment horizontal="center" vertical="center" textRotation="90"/>
    </xf>
    <xf numFmtId="2" fontId="18" fillId="7" borderId="10" xfId="0" applyNumberFormat="1" applyFont="1" applyFill="1" applyBorder="1" applyAlignment="1">
      <alignment horizontal="center" vertical="center"/>
    </xf>
    <xf numFmtId="2" fontId="18" fillId="7" borderId="12" xfId="0" applyNumberFormat="1" applyFont="1" applyFill="1" applyBorder="1" applyAlignment="1">
      <alignment horizontal="center" vertical="center"/>
    </xf>
    <xf numFmtId="2" fontId="18" fillId="7" borderId="13" xfId="0" applyNumberFormat="1" applyFont="1" applyFill="1" applyBorder="1" applyAlignment="1">
      <alignment horizontal="center" vertical="center"/>
    </xf>
    <xf numFmtId="2" fontId="15" fillId="5" borderId="1" xfId="0" applyNumberFormat="1" applyFont="1" applyFill="1" applyBorder="1" applyAlignment="1">
      <alignment horizontal="center" vertical="center"/>
    </xf>
    <xf numFmtId="0" fontId="0" fillId="5" borderId="1" xfId="0" applyFill="1" applyBorder="1" applyAlignment="1">
      <alignment horizontal="center"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52" fillId="4" borderId="1" xfId="0" applyFont="1" applyFill="1" applyBorder="1" applyAlignment="1">
      <alignment horizontal="center" vertical="center" wrapText="1"/>
    </xf>
    <xf numFmtId="0" fontId="5" fillId="7" borderId="4" xfId="0" applyFont="1" applyFill="1" applyBorder="1" applyAlignment="1">
      <alignment horizontal="center" vertical="center"/>
    </xf>
    <xf numFmtId="0" fontId="5" fillId="7" borderId="1" xfId="0" applyFont="1" applyFill="1" applyBorder="1" applyAlignment="1">
      <alignment horizontal="center" vertical="center"/>
    </xf>
    <xf numFmtId="0" fontId="59" fillId="4" borderId="3" xfId="0" applyFont="1" applyFill="1" applyBorder="1" applyAlignment="1">
      <alignment horizontal="center" vertical="top" wrapText="1"/>
    </xf>
    <xf numFmtId="0" fontId="59" fillId="4" borderId="5" xfId="0" applyFont="1" applyFill="1" applyBorder="1" applyAlignment="1">
      <alignment horizontal="center" vertical="top" wrapText="1"/>
    </xf>
    <xf numFmtId="0" fontId="59" fillId="4" borderId="7" xfId="0" applyFont="1" applyFill="1" applyBorder="1" applyAlignment="1">
      <alignment horizontal="center" vertical="top" wrapText="1"/>
    </xf>
    <xf numFmtId="0" fontId="59" fillId="4" borderId="9" xfId="0" applyFont="1" applyFill="1" applyBorder="1" applyAlignment="1">
      <alignment horizontal="center" vertical="top" wrapText="1"/>
    </xf>
    <xf numFmtId="0" fontId="51" fillId="4" borderId="10" xfId="0" applyFont="1" applyFill="1" applyBorder="1" applyAlignment="1">
      <alignment horizontal="center" vertical="center" wrapText="1"/>
    </xf>
    <xf numFmtId="0" fontId="51" fillId="4" borderId="11" xfId="0" applyFont="1" applyFill="1" applyBorder="1" applyAlignment="1">
      <alignment horizontal="center" vertical="center" wrapText="1"/>
    </xf>
    <xf numFmtId="0" fontId="51" fillId="4" borderId="12" xfId="0" applyFont="1" applyFill="1" applyBorder="1" applyAlignment="1">
      <alignment horizontal="center" vertical="center" wrapText="1"/>
    </xf>
    <xf numFmtId="2" fontId="0" fillId="6" borderId="10" xfId="0" applyNumberFormat="1" applyFill="1" applyBorder="1" applyAlignment="1">
      <alignment horizontal="center" vertical="center"/>
    </xf>
    <xf numFmtId="2" fontId="0" fillId="6" borderId="12" xfId="0" applyNumberFormat="1" applyFill="1" applyBorder="1" applyAlignment="1">
      <alignment horizontal="center" vertical="center"/>
    </xf>
    <xf numFmtId="2" fontId="15" fillId="12" borderId="10" xfId="0" applyNumberFormat="1" applyFont="1" applyFill="1" applyBorder="1" applyAlignment="1">
      <alignment horizontal="center" vertical="center" textRotation="90" wrapText="1"/>
    </xf>
    <xf numFmtId="2" fontId="15" fillId="12" borderId="11" xfId="0" applyNumberFormat="1" applyFont="1" applyFill="1" applyBorder="1" applyAlignment="1">
      <alignment horizontal="center" vertical="center" textRotation="90" wrapText="1"/>
    </xf>
    <xf numFmtId="2" fontId="15" fillId="12" borderId="12" xfId="0" applyNumberFormat="1" applyFont="1" applyFill="1" applyBorder="1" applyAlignment="1">
      <alignment horizontal="center" vertical="center" textRotation="90" wrapText="1"/>
    </xf>
    <xf numFmtId="2" fontId="15" fillId="27" borderId="10" xfId="0" applyNumberFormat="1" applyFont="1" applyFill="1" applyBorder="1" applyAlignment="1">
      <alignment horizontal="center" vertical="center" textRotation="90" wrapText="1"/>
    </xf>
    <xf numFmtId="2" fontId="15" fillId="27" borderId="11" xfId="0" applyNumberFormat="1" applyFont="1" applyFill="1" applyBorder="1" applyAlignment="1">
      <alignment horizontal="center" vertical="center" textRotation="90" wrapText="1"/>
    </xf>
    <xf numFmtId="2" fontId="15" fillId="27" borderId="12" xfId="0" applyNumberFormat="1" applyFont="1" applyFill="1" applyBorder="1" applyAlignment="1">
      <alignment horizontal="center" vertical="center" textRotation="90" wrapText="1"/>
    </xf>
    <xf numFmtId="0" fontId="125" fillId="28" borderId="1" xfId="0" applyFont="1" applyFill="1" applyBorder="1" applyAlignment="1">
      <alignment horizontal="center" vertical="center" textRotation="90"/>
    </xf>
    <xf numFmtId="0" fontId="124" fillId="20" borderId="1" xfId="0" applyFont="1" applyFill="1" applyBorder="1" applyAlignment="1">
      <alignment horizontal="center" vertical="center" textRotation="90"/>
    </xf>
    <xf numFmtId="2" fontId="15" fillId="3" borderId="10" xfId="0" applyNumberFormat="1" applyFont="1" applyFill="1" applyBorder="1" applyAlignment="1">
      <alignment horizontal="center" vertical="center" textRotation="90" wrapText="1"/>
    </xf>
    <xf numFmtId="2" fontId="15" fillId="3" borderId="11" xfId="0" applyNumberFormat="1" applyFont="1" applyFill="1" applyBorder="1" applyAlignment="1">
      <alignment horizontal="center" vertical="center" textRotation="90" wrapText="1"/>
    </xf>
    <xf numFmtId="2" fontId="15" fillId="3" borderId="12" xfId="0" applyNumberFormat="1" applyFont="1" applyFill="1" applyBorder="1" applyAlignment="1">
      <alignment horizontal="center" vertical="center" textRotation="90" wrapText="1"/>
    </xf>
    <xf numFmtId="2" fontId="15" fillId="9" borderId="10" xfId="0" applyNumberFormat="1" applyFont="1" applyFill="1" applyBorder="1" applyAlignment="1">
      <alignment horizontal="center" vertical="center" textRotation="90" wrapText="1"/>
    </xf>
    <xf numFmtId="2" fontId="15" fillId="9" borderId="11" xfId="0" applyNumberFormat="1" applyFont="1" applyFill="1" applyBorder="1" applyAlignment="1">
      <alignment horizontal="center" vertical="center" textRotation="90" wrapText="1"/>
    </xf>
    <xf numFmtId="2" fontId="15" fillId="9" borderId="12" xfId="0" applyNumberFormat="1" applyFont="1" applyFill="1" applyBorder="1" applyAlignment="1">
      <alignment horizontal="center" vertical="center" textRotation="90" wrapText="1"/>
    </xf>
    <xf numFmtId="2" fontId="15" fillId="32" borderId="10" xfId="0" applyNumberFormat="1" applyFont="1" applyFill="1" applyBorder="1" applyAlignment="1">
      <alignment horizontal="center" vertical="center" textRotation="90" wrapText="1"/>
    </xf>
    <xf numFmtId="2" fontId="15" fillId="32" borderId="11" xfId="0" applyNumberFormat="1" applyFont="1" applyFill="1" applyBorder="1" applyAlignment="1">
      <alignment horizontal="center" vertical="center" textRotation="90" wrapText="1"/>
    </xf>
    <xf numFmtId="2" fontId="15" fillId="32" borderId="12" xfId="0" applyNumberFormat="1" applyFont="1" applyFill="1" applyBorder="1" applyAlignment="1">
      <alignment horizontal="center" vertical="center" textRotation="90" wrapText="1"/>
    </xf>
    <xf numFmtId="2" fontId="15" fillId="27" borderId="1" xfId="0" applyNumberFormat="1" applyFont="1" applyFill="1" applyBorder="1" applyAlignment="1">
      <alignment horizontal="center" vertical="center" textRotation="90" wrapText="1"/>
    </xf>
    <xf numFmtId="2" fontId="15" fillId="9" borderId="1" xfId="0" applyNumberFormat="1" applyFont="1" applyFill="1" applyBorder="1" applyAlignment="1">
      <alignment horizontal="center" vertical="center" textRotation="90" wrapText="1"/>
    </xf>
    <xf numFmtId="2" fontId="15" fillId="10" borderId="1" xfId="0" applyNumberFormat="1" applyFont="1" applyFill="1" applyBorder="1" applyAlignment="1">
      <alignment horizontal="center" vertical="center" textRotation="90" wrapText="1"/>
    </xf>
    <xf numFmtId="0" fontId="111" fillId="20" borderId="1" xfId="0" applyFont="1" applyFill="1" applyBorder="1" applyAlignment="1">
      <alignment horizontal="center" vertical="center" textRotation="90"/>
    </xf>
    <xf numFmtId="2" fontId="14" fillId="30" borderId="1" xfId="0" applyNumberFormat="1" applyFont="1" applyFill="1" applyBorder="1" applyAlignment="1">
      <alignment horizontal="center" vertical="center" textRotation="90"/>
    </xf>
    <xf numFmtId="2" fontId="15" fillId="31" borderId="1" xfId="0" applyNumberFormat="1" applyFont="1" applyFill="1" applyBorder="1" applyAlignment="1">
      <alignment horizontal="center" vertical="center" textRotation="90" wrapText="1"/>
    </xf>
    <xf numFmtId="2" fontId="15" fillId="12" borderId="1" xfId="0" applyNumberFormat="1" applyFont="1" applyFill="1" applyBorder="1" applyAlignment="1">
      <alignment horizontal="center" vertical="center" textRotation="90" wrapText="1"/>
    </xf>
    <xf numFmtId="2" fontId="15" fillId="32" borderId="1" xfId="0" applyNumberFormat="1" applyFont="1" applyFill="1" applyBorder="1" applyAlignment="1">
      <alignment horizontal="center" vertical="center" textRotation="90" wrapText="1"/>
    </xf>
    <xf numFmtId="0" fontId="124" fillId="20" borderId="4" xfId="0" applyFont="1" applyFill="1" applyBorder="1" applyAlignment="1">
      <alignment horizontal="center" vertical="center" textRotation="90"/>
    </xf>
    <xf numFmtId="0" fontId="124" fillId="20" borderId="0" xfId="0" applyFont="1" applyFill="1" applyBorder="1" applyAlignment="1">
      <alignment horizontal="center" vertical="center" textRotation="90"/>
    </xf>
    <xf numFmtId="0" fontId="125" fillId="28" borderId="5" xfId="0" applyFont="1" applyFill="1" applyBorder="1" applyAlignment="1">
      <alignment horizontal="center" vertical="center" textRotation="90"/>
    </xf>
    <xf numFmtId="0" fontId="125" fillId="28" borderId="6" xfId="0" applyFont="1" applyFill="1" applyBorder="1" applyAlignment="1">
      <alignment horizontal="center" vertical="center" textRotation="90"/>
    </xf>
    <xf numFmtId="2" fontId="15" fillId="10" borderId="11" xfId="0" applyNumberFormat="1" applyFont="1" applyFill="1" applyBorder="1" applyAlignment="1">
      <alignment horizontal="center" vertical="center" textRotation="90" wrapText="1"/>
    </xf>
    <xf numFmtId="2" fontId="15" fillId="10" borderId="12" xfId="0" applyNumberFormat="1" applyFont="1" applyFill="1" applyBorder="1" applyAlignment="1">
      <alignment horizontal="center" vertical="center" textRotation="90" wrapText="1"/>
    </xf>
    <xf numFmtId="2" fontId="6" fillId="5" borderId="10" xfId="0" applyNumberFormat="1" applyFont="1" applyFill="1" applyBorder="1" applyAlignment="1">
      <alignment horizontal="center" vertical="center"/>
    </xf>
    <xf numFmtId="2" fontId="6" fillId="5" borderId="12" xfId="0" applyNumberFormat="1" applyFont="1" applyFill="1" applyBorder="1" applyAlignment="1">
      <alignment horizontal="center" vertical="center"/>
    </xf>
    <xf numFmtId="2" fontId="6" fillId="5" borderId="10" xfId="0" applyNumberFormat="1" applyFont="1" applyFill="1" applyBorder="1" applyAlignment="1">
      <alignment horizontal="center" vertical="center" wrapText="1"/>
    </xf>
    <xf numFmtId="2" fontId="6" fillId="5" borderId="12" xfId="0" applyNumberFormat="1" applyFont="1" applyFill="1" applyBorder="1" applyAlignment="1">
      <alignment horizontal="center" vertical="center" wrapText="1"/>
    </xf>
    <xf numFmtId="0" fontId="111" fillId="29" borderId="0" xfId="0" applyFont="1" applyFill="1" applyBorder="1" applyAlignment="1">
      <alignment horizontal="center" vertical="center"/>
    </xf>
    <xf numFmtId="0" fontId="111" fillId="29" borderId="8" xfId="0" applyFont="1" applyFill="1" applyBorder="1" applyAlignment="1">
      <alignment horizontal="center" vertical="center"/>
    </xf>
    <xf numFmtId="2" fontId="15" fillId="33" borderId="11" xfId="0" applyNumberFormat="1" applyFont="1" applyFill="1" applyBorder="1" applyAlignment="1">
      <alignment horizontal="center" vertical="center" textRotation="90" wrapText="1"/>
    </xf>
    <xf numFmtId="2" fontId="15" fillId="33" borderId="12" xfId="0" applyNumberFormat="1" applyFont="1" applyFill="1" applyBorder="1" applyAlignment="1">
      <alignment horizontal="center" vertical="center" textRotation="90" wrapText="1"/>
    </xf>
    <xf numFmtId="2" fontId="9" fillId="6" borderId="10" xfId="0" applyNumberFormat="1" applyFont="1" applyFill="1" applyBorder="1" applyAlignment="1">
      <alignment horizontal="center" vertical="center" wrapText="1"/>
    </xf>
    <xf numFmtId="2" fontId="9" fillId="6" borderId="11" xfId="0" applyNumberFormat="1" applyFont="1" applyFill="1" applyBorder="1" applyAlignment="1">
      <alignment horizontal="center" vertical="center" wrapText="1"/>
    </xf>
    <xf numFmtId="2" fontId="9" fillId="6" borderId="12" xfId="0" applyNumberFormat="1" applyFont="1" applyFill="1" applyBorder="1" applyAlignment="1">
      <alignment horizontal="center" vertical="center" wrapText="1"/>
    </xf>
    <xf numFmtId="2" fontId="5" fillId="6" borderId="1" xfId="0" applyNumberFormat="1" applyFont="1" applyFill="1" applyBorder="1" applyAlignment="1">
      <alignment horizontal="center" vertical="center"/>
    </xf>
    <xf numFmtId="2" fontId="5" fillId="6" borderId="10" xfId="0" applyNumberFormat="1" applyFont="1" applyFill="1" applyBorder="1" applyAlignment="1">
      <alignment horizontal="center" vertical="center"/>
    </xf>
    <xf numFmtId="2" fontId="6" fillId="5" borderId="1" xfId="0" applyNumberFormat="1" applyFont="1" applyFill="1" applyBorder="1" applyAlignment="1">
      <alignment horizontal="center" vertical="center"/>
    </xf>
    <xf numFmtId="2" fontId="34" fillId="6" borderId="10" xfId="0" applyNumberFormat="1" applyFont="1" applyFill="1" applyBorder="1" applyAlignment="1">
      <alignment horizontal="center" vertical="center" wrapText="1"/>
    </xf>
    <xf numFmtId="2" fontId="49" fillId="6" borderId="11" xfId="0" applyNumberFormat="1" applyFont="1" applyFill="1" applyBorder="1" applyAlignment="1">
      <alignment horizontal="center" vertical="center" wrapText="1"/>
    </xf>
    <xf numFmtId="0" fontId="56" fillId="4" borderId="4" xfId="0" applyFont="1" applyFill="1" applyBorder="1" applyAlignment="1">
      <alignment horizontal="center" vertical="center" wrapText="1"/>
    </xf>
    <xf numFmtId="0" fontId="6" fillId="5" borderId="12" xfId="0" applyFont="1" applyFill="1" applyBorder="1" applyAlignment="1">
      <alignment horizontal="center" vertical="center"/>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56" fillId="4" borderId="11" xfId="0" applyFont="1" applyFill="1" applyBorder="1" applyAlignment="1">
      <alignment horizontal="center" vertical="center" wrapText="1"/>
    </xf>
    <xf numFmtId="0" fontId="56" fillId="4" borderId="12" xfId="0" applyFont="1" applyFill="1" applyBorder="1" applyAlignment="1">
      <alignment horizontal="center" vertical="center" wrapText="1"/>
    </xf>
    <xf numFmtId="1" fontId="5" fillId="0" borderId="10" xfId="0" applyNumberFormat="1" applyFont="1" applyBorder="1" applyAlignment="1">
      <alignment horizontal="center" vertical="center"/>
    </xf>
    <xf numFmtId="1" fontId="5" fillId="0" borderId="11" xfId="0" applyNumberFormat="1" applyFont="1" applyBorder="1" applyAlignment="1">
      <alignment horizontal="center" vertical="center"/>
    </xf>
    <xf numFmtId="1" fontId="5" fillId="0" borderId="12" xfId="0" applyNumberFormat="1" applyFont="1" applyBorder="1" applyAlignment="1">
      <alignment horizontal="center" vertical="center"/>
    </xf>
    <xf numFmtId="0" fontId="51" fillId="13" borderId="13" xfId="0" applyFont="1" applyFill="1" applyBorder="1" applyAlignment="1">
      <alignment horizontal="center" vertical="center"/>
    </xf>
    <xf numFmtId="0" fontId="51" fillId="13" borderId="9" xfId="0" applyFont="1" applyFill="1" applyBorder="1" applyAlignment="1">
      <alignment horizontal="center" vertical="center"/>
    </xf>
    <xf numFmtId="2" fontId="6" fillId="5" borderId="1" xfId="0" applyNumberFormat="1" applyFont="1" applyFill="1" applyBorder="1" applyAlignment="1">
      <alignment horizontal="center" vertical="center" wrapText="1"/>
    </xf>
    <xf numFmtId="0" fontId="53" fillId="4" borderId="2" xfId="0" applyFont="1" applyFill="1" applyBorder="1" applyAlignment="1">
      <alignment horizontal="center" vertical="center" wrapText="1"/>
    </xf>
    <xf numFmtId="0" fontId="53" fillId="4" borderId="0" xfId="0" applyFont="1" applyFill="1" applyBorder="1" applyAlignment="1">
      <alignment horizontal="center" vertical="center" wrapText="1"/>
    </xf>
    <xf numFmtId="0" fontId="53" fillId="4" borderId="6" xfId="0" applyFont="1" applyFill="1" applyBorder="1" applyAlignment="1">
      <alignment horizontal="center" vertical="center" wrapText="1"/>
    </xf>
    <xf numFmtId="0" fontId="3" fillId="27" borderId="13" xfId="0" applyFont="1" applyFill="1" applyBorder="1" applyAlignment="1">
      <alignment horizontal="center" vertical="center"/>
    </xf>
    <xf numFmtId="0" fontId="3" fillId="27" borderId="14" xfId="0" applyFont="1" applyFill="1" applyBorder="1" applyAlignment="1">
      <alignment horizontal="center" vertical="center"/>
    </xf>
    <xf numFmtId="0" fontId="3" fillId="27" borderId="15" xfId="0" applyFont="1" applyFill="1" applyBorder="1" applyAlignment="1">
      <alignment horizontal="center" vertical="center"/>
    </xf>
    <xf numFmtId="2" fontId="56" fillId="4" borderId="10" xfId="0" applyNumberFormat="1" applyFont="1" applyFill="1" applyBorder="1" applyAlignment="1">
      <alignment horizontal="center" vertical="center" wrapText="1"/>
    </xf>
    <xf numFmtId="2" fontId="56" fillId="4" borderId="11" xfId="0" applyNumberFormat="1" applyFont="1" applyFill="1" applyBorder="1" applyAlignment="1">
      <alignment horizontal="center" vertical="center" wrapText="1"/>
    </xf>
    <xf numFmtId="2" fontId="56" fillId="4" borderId="12" xfId="0" applyNumberFormat="1" applyFont="1" applyFill="1" applyBorder="1" applyAlignment="1">
      <alignment horizontal="center" vertical="center" wrapText="1"/>
    </xf>
    <xf numFmtId="0" fontId="53" fillId="4" borderId="2" xfId="0" applyFont="1" applyFill="1" applyBorder="1" applyAlignment="1">
      <alignment horizontal="center" vertical="center"/>
    </xf>
    <xf numFmtId="0" fontId="53" fillId="4" borderId="0" xfId="0" applyFont="1" applyFill="1" applyBorder="1" applyAlignment="1">
      <alignment horizontal="center" vertical="center"/>
    </xf>
    <xf numFmtId="0" fontId="53" fillId="4" borderId="6" xfId="0" applyFont="1" applyFill="1" applyBorder="1" applyAlignment="1">
      <alignment horizontal="center" vertical="center"/>
    </xf>
    <xf numFmtId="0" fontId="124" fillId="4" borderId="2" xfId="0" applyFont="1" applyFill="1" applyBorder="1" applyAlignment="1">
      <alignment horizontal="center" vertical="center" textRotation="90"/>
    </xf>
    <xf numFmtId="0" fontId="124" fillId="4" borderId="0" xfId="0" applyFont="1" applyFill="1" applyBorder="1" applyAlignment="1">
      <alignment horizontal="center" vertical="center" textRotation="90"/>
    </xf>
    <xf numFmtId="0" fontId="124" fillId="4" borderId="6" xfId="0" applyFont="1" applyFill="1" applyBorder="1" applyAlignment="1">
      <alignment horizontal="center" vertical="center" textRotation="90"/>
    </xf>
    <xf numFmtId="0" fontId="124" fillId="4" borderId="7" xfId="0" applyFont="1" applyFill="1" applyBorder="1" applyAlignment="1">
      <alignment horizontal="center" vertical="center" textRotation="90"/>
    </xf>
    <xf numFmtId="0" fontId="124" fillId="4" borderId="8" xfId="0" applyFont="1" applyFill="1" applyBorder="1" applyAlignment="1">
      <alignment horizontal="center" vertical="center" textRotation="90"/>
    </xf>
    <xf numFmtId="0" fontId="124" fillId="4" borderId="9" xfId="0" applyFont="1" applyFill="1" applyBorder="1" applyAlignment="1">
      <alignment horizontal="center" vertical="center" textRotation="90"/>
    </xf>
    <xf numFmtId="2" fontId="6" fillId="5" borderId="3" xfId="0" applyNumberFormat="1" applyFont="1" applyFill="1" applyBorder="1" applyAlignment="1">
      <alignment horizontal="center" vertical="center" wrapText="1"/>
    </xf>
    <xf numFmtId="2" fontId="6" fillId="5" borderId="7" xfId="0" applyNumberFormat="1" applyFont="1" applyFill="1" applyBorder="1" applyAlignment="1">
      <alignment horizontal="center" vertical="center" wrapText="1"/>
    </xf>
    <xf numFmtId="2" fontId="56" fillId="4" borderId="7" xfId="0" applyNumberFormat="1" applyFont="1" applyFill="1" applyBorder="1" applyAlignment="1">
      <alignment horizontal="center" vertical="center" wrapText="1"/>
    </xf>
    <xf numFmtId="2" fontId="56" fillId="4" borderId="8" xfId="0" applyNumberFormat="1" applyFont="1" applyFill="1" applyBorder="1" applyAlignment="1">
      <alignment horizontal="center" vertical="center" wrapText="1"/>
    </xf>
    <xf numFmtId="2" fontId="56" fillId="4" borderId="9" xfId="0" applyNumberFormat="1"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 xfId="0" applyFont="1" applyFill="1" applyBorder="1" applyAlignment="1">
      <alignment horizontal="center" vertical="center" wrapText="1"/>
    </xf>
    <xf numFmtId="2" fontId="77" fillId="5" borderId="10" xfId="0" applyNumberFormat="1" applyFont="1" applyFill="1" applyBorder="1" applyAlignment="1">
      <alignment horizontal="center" vertical="center"/>
    </xf>
    <xf numFmtId="2" fontId="77" fillId="5" borderId="11" xfId="0" applyNumberFormat="1" applyFont="1" applyFill="1" applyBorder="1" applyAlignment="1">
      <alignment horizontal="center" vertical="center"/>
    </xf>
    <xf numFmtId="0" fontId="48"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0" xfId="0" applyFont="1" applyFill="1" applyBorder="1" applyAlignment="1">
      <alignment horizontal="center" vertical="center"/>
    </xf>
    <xf numFmtId="0" fontId="18" fillId="7" borderId="1"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5" xfId="0" applyFont="1" applyFill="1" applyBorder="1" applyAlignment="1">
      <alignment horizontal="center" vertical="center"/>
    </xf>
    <xf numFmtId="2" fontId="5" fillId="7" borderId="1" xfId="0" applyNumberFormat="1" applyFont="1" applyFill="1" applyBorder="1" applyAlignment="1">
      <alignment horizontal="center" vertical="center"/>
    </xf>
    <xf numFmtId="0" fontId="56" fillId="4" borderId="13" xfId="0" applyFont="1" applyFill="1" applyBorder="1" applyAlignment="1">
      <alignment horizontal="center" vertical="center" wrapText="1"/>
    </xf>
    <xf numFmtId="0" fontId="56" fillId="4" borderId="15" xfId="0" applyFont="1" applyFill="1" applyBorder="1" applyAlignment="1">
      <alignment horizontal="center" vertical="center" wrapText="1"/>
    </xf>
    <xf numFmtId="2" fontId="5" fillId="7" borderId="13" xfId="0" applyNumberFormat="1" applyFont="1" applyFill="1" applyBorder="1" applyAlignment="1">
      <alignment horizontal="center" vertical="center"/>
    </xf>
    <xf numFmtId="2" fontId="5" fillId="7" borderId="15" xfId="0" applyNumberFormat="1" applyFont="1" applyFill="1" applyBorder="1" applyAlignment="1">
      <alignment horizontal="center" vertical="center"/>
    </xf>
    <xf numFmtId="0" fontId="48" fillId="5" borderId="13" xfId="0" applyFont="1" applyFill="1" applyBorder="1" applyAlignment="1">
      <alignment horizontal="center" vertical="center" wrapText="1"/>
    </xf>
    <xf numFmtId="0" fontId="5" fillId="5" borderId="13" xfId="0" applyFont="1" applyFill="1" applyBorder="1" applyAlignment="1">
      <alignment horizontal="center" vertical="center"/>
    </xf>
    <xf numFmtId="2" fontId="56" fillId="4" borderId="3" xfId="0" applyNumberFormat="1" applyFont="1" applyFill="1" applyBorder="1" applyAlignment="1">
      <alignment horizontal="center" vertical="center" wrapText="1"/>
    </xf>
    <xf numFmtId="2" fontId="56" fillId="4" borderId="4" xfId="0" applyNumberFormat="1" applyFont="1" applyFill="1" applyBorder="1" applyAlignment="1">
      <alignment horizontal="center" vertical="center" wrapText="1"/>
    </xf>
    <xf numFmtId="2" fontId="77" fillId="5" borderId="3" xfId="0" applyNumberFormat="1" applyFont="1" applyFill="1" applyBorder="1" applyAlignment="1">
      <alignment horizontal="center" vertical="center"/>
    </xf>
    <xf numFmtId="0" fontId="61" fillId="4" borderId="2" xfId="0" applyFont="1" applyFill="1" applyBorder="1" applyAlignment="1">
      <alignment horizontal="center" vertical="center" wrapText="1"/>
    </xf>
    <xf numFmtId="0" fontId="61" fillId="4" borderId="0" xfId="0" applyFont="1" applyFill="1" applyBorder="1" applyAlignment="1">
      <alignment horizontal="center" vertical="center" wrapText="1"/>
    </xf>
    <xf numFmtId="0" fontId="61" fillId="4" borderId="6" xfId="0" applyFont="1" applyFill="1" applyBorder="1" applyAlignment="1">
      <alignment horizontal="center" vertical="center" wrapText="1"/>
    </xf>
    <xf numFmtId="2" fontId="6" fillId="5" borderId="3" xfId="0" applyNumberFormat="1" applyFont="1" applyFill="1" applyBorder="1" applyAlignment="1">
      <alignment horizontal="center" vertical="center"/>
    </xf>
    <xf numFmtId="2" fontId="6" fillId="5" borderId="5" xfId="0" applyNumberFormat="1" applyFont="1" applyFill="1" applyBorder="1" applyAlignment="1">
      <alignment horizontal="center" vertical="center"/>
    </xf>
    <xf numFmtId="2" fontId="8" fillId="5" borderId="7" xfId="0" applyNumberFormat="1" applyFont="1" applyFill="1" applyBorder="1" applyAlignment="1">
      <alignment horizontal="center" vertical="center"/>
    </xf>
    <xf numFmtId="2" fontId="8" fillId="5" borderId="9" xfId="0" applyNumberFormat="1" applyFont="1" applyFill="1" applyBorder="1" applyAlignment="1">
      <alignment horizontal="center" vertical="center"/>
    </xf>
    <xf numFmtId="2" fontId="56" fillId="4" borderId="5" xfId="0" applyNumberFormat="1" applyFont="1" applyFill="1" applyBorder="1" applyAlignment="1">
      <alignment horizontal="center" vertical="center" wrapText="1"/>
    </xf>
    <xf numFmtId="0" fontId="61" fillId="4" borderId="7" xfId="0" applyFont="1" applyFill="1" applyBorder="1" applyAlignment="1">
      <alignment horizontal="center" vertical="center" wrapText="1"/>
    </xf>
    <xf numFmtId="0" fontId="61" fillId="4" borderId="8" xfId="0" applyFont="1" applyFill="1" applyBorder="1" applyAlignment="1">
      <alignment horizontal="center" vertical="center" wrapText="1"/>
    </xf>
    <xf numFmtId="0" fontId="61" fillId="4" borderId="9" xfId="0" applyFont="1" applyFill="1" applyBorder="1" applyAlignment="1">
      <alignment horizontal="center" vertical="center" wrapText="1"/>
    </xf>
    <xf numFmtId="2" fontId="34" fillId="5" borderId="3" xfId="0" applyNumberFormat="1" applyFont="1" applyFill="1" applyBorder="1" applyAlignment="1">
      <alignment horizontal="center" vertical="center" wrapText="1"/>
    </xf>
    <xf numFmtId="2" fontId="34" fillId="5" borderId="4" xfId="0" applyNumberFormat="1" applyFont="1" applyFill="1" applyBorder="1" applyAlignment="1">
      <alignment horizontal="center" vertical="center" wrapText="1"/>
    </xf>
    <xf numFmtId="2" fontId="34" fillId="5" borderId="5" xfId="0" applyNumberFormat="1" applyFont="1" applyFill="1" applyBorder="1" applyAlignment="1">
      <alignment horizontal="center" vertical="center" wrapText="1"/>
    </xf>
    <xf numFmtId="2" fontId="34" fillId="5" borderId="7" xfId="0" applyNumberFormat="1" applyFont="1" applyFill="1" applyBorder="1" applyAlignment="1">
      <alignment horizontal="center" vertical="center" wrapText="1"/>
    </xf>
    <xf numFmtId="2" fontId="34" fillId="5" borderId="8" xfId="0" applyNumberFormat="1" applyFont="1" applyFill="1" applyBorder="1" applyAlignment="1">
      <alignment horizontal="center" vertical="center" wrapText="1"/>
    </xf>
    <xf numFmtId="2" fontId="34" fillId="5" borderId="9" xfId="0" applyNumberFormat="1" applyFont="1" applyFill="1" applyBorder="1" applyAlignment="1">
      <alignment horizontal="center" vertical="center" wrapText="1"/>
    </xf>
    <xf numFmtId="0" fontId="18" fillId="7" borderId="13" xfId="0" applyFont="1" applyFill="1" applyBorder="1" applyAlignment="1">
      <alignment horizontal="center" vertical="center"/>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7" xfId="0" applyFont="1" applyFill="1" applyBorder="1" applyAlignment="1">
      <alignment horizontal="center" vertical="center"/>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0" fillId="7" borderId="7" xfId="0" applyFill="1" applyBorder="1" applyAlignment="1">
      <alignment horizontal="center" vertical="center"/>
    </xf>
    <xf numFmtId="0" fontId="0" fillId="7" borderId="9" xfId="0" applyFill="1" applyBorder="1" applyAlignment="1">
      <alignment horizontal="center" vertical="center"/>
    </xf>
    <xf numFmtId="0" fontId="34"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6" xfId="0" applyFont="1" applyFill="1" applyBorder="1" applyAlignment="1">
      <alignment horizontal="center" vertical="center"/>
    </xf>
    <xf numFmtId="0" fontId="43" fillId="7" borderId="3" xfId="0" applyFont="1" applyFill="1" applyBorder="1" applyAlignment="1">
      <alignment horizontal="center" vertical="center"/>
    </xf>
    <xf numFmtId="0" fontId="43" fillId="7" borderId="5" xfId="0" applyFont="1" applyFill="1" applyBorder="1" applyAlignment="1">
      <alignment horizontal="center" vertical="center"/>
    </xf>
    <xf numFmtId="0" fontId="8" fillId="7" borderId="9" xfId="0" applyFont="1" applyFill="1" applyBorder="1" applyAlignment="1">
      <alignment horizontal="center" vertical="center"/>
    </xf>
    <xf numFmtId="2" fontId="6" fillId="5" borderId="13" xfId="0" applyNumberFormat="1" applyFont="1" applyFill="1" applyBorder="1" applyAlignment="1">
      <alignment horizontal="center" vertical="center"/>
    </xf>
    <xf numFmtId="2" fontId="6" fillId="5" borderId="15" xfId="0" applyNumberFormat="1" applyFont="1" applyFill="1" applyBorder="1" applyAlignment="1">
      <alignment horizontal="center" vertical="center"/>
    </xf>
    <xf numFmtId="2" fontId="6" fillId="5" borderId="14" xfId="0" applyNumberFormat="1" applyFont="1" applyFill="1" applyBorder="1" applyAlignment="1">
      <alignment horizontal="center" vertical="center"/>
    </xf>
    <xf numFmtId="0" fontId="1" fillId="14" borderId="3" xfId="0" applyFont="1" applyFill="1" applyBorder="1" applyAlignment="1">
      <alignment horizontal="center" vertical="center" textRotation="90"/>
    </xf>
    <xf numFmtId="0" fontId="1" fillId="14" borderId="2" xfId="0" applyFont="1" applyFill="1" applyBorder="1" applyAlignment="1">
      <alignment horizontal="center" vertical="center" textRotation="90"/>
    </xf>
    <xf numFmtId="0" fontId="1" fillId="14" borderId="7" xfId="0" applyFont="1" applyFill="1" applyBorder="1" applyAlignment="1">
      <alignment horizontal="center" vertical="center" textRotation="90"/>
    </xf>
    <xf numFmtId="0" fontId="1" fillId="23" borderId="3" xfId="0" applyFont="1" applyFill="1" applyBorder="1" applyAlignment="1">
      <alignment horizontal="center" vertical="center" textRotation="90"/>
    </xf>
    <xf numFmtId="0" fontId="1" fillId="23" borderId="2" xfId="0" applyFont="1" applyFill="1" applyBorder="1" applyAlignment="1">
      <alignment horizontal="center" vertical="center" textRotation="90"/>
    </xf>
    <xf numFmtId="0" fontId="1" fillId="23" borderId="7" xfId="0" applyFont="1" applyFill="1" applyBorder="1" applyAlignment="1">
      <alignment horizontal="center" vertical="center" textRotation="90"/>
    </xf>
    <xf numFmtId="0" fontId="1" fillId="14" borderId="13" xfId="0" applyFont="1" applyFill="1" applyBorder="1" applyAlignment="1">
      <alignment horizontal="center" vertical="center" textRotation="90"/>
    </xf>
    <xf numFmtId="0" fontId="1" fillId="23" borderId="13" xfId="0" applyFont="1" applyFill="1" applyBorder="1" applyAlignment="1">
      <alignment horizontal="center" vertical="center" textRotation="90"/>
    </xf>
    <xf numFmtId="0" fontId="0" fillId="7" borderId="2" xfId="0" applyFill="1" applyBorder="1" applyAlignment="1">
      <alignment horizontal="center" vertical="center"/>
    </xf>
    <xf numFmtId="0" fontId="0" fillId="7" borderId="6" xfId="0" applyFill="1" applyBorder="1" applyAlignment="1">
      <alignment horizontal="center" vertical="center"/>
    </xf>
    <xf numFmtId="0" fontId="51" fillId="4" borderId="3" xfId="0" applyFont="1" applyFill="1" applyBorder="1" applyAlignment="1">
      <alignment horizontal="center" vertical="center" wrapText="1"/>
    </xf>
    <xf numFmtId="0" fontId="51" fillId="4" borderId="4" xfId="0" applyFont="1" applyFill="1" applyBorder="1" applyAlignment="1">
      <alignment horizontal="center" vertical="center" wrapText="1"/>
    </xf>
    <xf numFmtId="0" fontId="51" fillId="4" borderId="7" xfId="0" applyFont="1" applyFill="1" applyBorder="1" applyAlignment="1">
      <alignment horizontal="center" vertical="center" wrapText="1"/>
    </xf>
    <xf numFmtId="0" fontId="51" fillId="4" borderId="8" xfId="0" applyFont="1" applyFill="1" applyBorder="1" applyAlignment="1">
      <alignment horizontal="center" vertical="center" wrapText="1"/>
    </xf>
    <xf numFmtId="2" fontId="51" fillId="4" borderId="3" xfId="0" applyNumberFormat="1" applyFont="1" applyFill="1" applyBorder="1" applyAlignment="1">
      <alignment horizontal="center" vertical="center" wrapText="1"/>
    </xf>
    <xf numFmtId="2" fontId="51" fillId="4" borderId="4" xfId="0" applyNumberFormat="1" applyFont="1" applyFill="1" applyBorder="1" applyAlignment="1">
      <alignment horizontal="center" vertical="center" wrapText="1"/>
    </xf>
    <xf numFmtId="2" fontId="51" fillId="4" borderId="7" xfId="0" applyNumberFormat="1" applyFont="1" applyFill="1" applyBorder="1" applyAlignment="1">
      <alignment horizontal="center" vertical="center" wrapText="1"/>
    </xf>
    <xf numFmtId="2" fontId="51" fillId="4" borderId="8" xfId="0" applyNumberFormat="1" applyFont="1" applyFill="1" applyBorder="1" applyAlignment="1">
      <alignment horizontal="center" vertical="center" wrapText="1"/>
    </xf>
    <xf numFmtId="0" fontId="0" fillId="0" borderId="5" xfId="0" applyBorder="1" applyAlignment="1">
      <alignment horizontal="left" vertical="center"/>
    </xf>
    <xf numFmtId="0" fontId="0" fillId="0" borderId="9" xfId="0" applyBorder="1" applyAlignment="1">
      <alignment horizontal="left"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34" fillId="0" borderId="7" xfId="0" applyFont="1" applyFill="1" applyBorder="1" applyAlignment="1">
      <alignment horizontal="center" vertical="center" wrapText="1"/>
    </xf>
    <xf numFmtId="0" fontId="34" fillId="0" borderId="9" xfId="0" applyFont="1" applyFill="1" applyBorder="1" applyAlignment="1">
      <alignment horizontal="center" vertical="center" wrapText="1"/>
    </xf>
    <xf numFmtId="164" fontId="0" fillId="0" borderId="3" xfId="0" applyNumberFormat="1" applyBorder="1" applyAlignment="1">
      <alignment horizontal="center" vertical="center"/>
    </xf>
    <xf numFmtId="164" fontId="0" fillId="0" borderId="2" xfId="0" applyNumberFormat="1" applyBorder="1" applyAlignment="1">
      <alignment horizontal="center" vertical="center"/>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0" fillId="0" borderId="9" xfId="0" applyNumberFormat="1" applyBorder="1" applyAlignment="1">
      <alignment horizontal="center" vertical="center"/>
    </xf>
    <xf numFmtId="2" fontId="15" fillId="5" borderId="14" xfId="0" applyNumberFormat="1" applyFont="1" applyFill="1" applyBorder="1" applyAlignment="1">
      <alignment horizontal="center" vertical="center"/>
    </xf>
    <xf numFmtId="0" fontId="77"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2" fontId="15" fillId="5" borderId="13" xfId="0" applyNumberFormat="1" applyFont="1" applyFill="1" applyBorder="1" applyAlignment="1">
      <alignment horizontal="center" vertical="center"/>
    </xf>
    <xf numFmtId="2" fontId="15" fillId="5" borderId="43" xfId="0" applyNumberFormat="1" applyFont="1" applyFill="1" applyBorder="1" applyAlignment="1">
      <alignment horizontal="center" vertical="center"/>
    </xf>
    <xf numFmtId="2" fontId="15" fillId="5" borderId="44" xfId="0" applyNumberFormat="1" applyFont="1" applyFill="1" applyBorder="1" applyAlignment="1">
      <alignment horizontal="center" vertical="center"/>
    </xf>
    <xf numFmtId="0" fontId="3" fillId="0" borderId="0" xfId="0" applyFont="1" applyBorder="1" applyAlignment="1">
      <alignment horizont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1" fontId="0" fillId="0" borderId="4" xfId="0" applyNumberFormat="1" applyBorder="1" applyAlignment="1">
      <alignment horizontal="center" vertical="center"/>
    </xf>
    <xf numFmtId="1" fontId="0" fillId="0" borderId="8" xfId="0" applyNumberFormat="1" applyBorder="1" applyAlignment="1">
      <alignment horizontal="center" vertical="center"/>
    </xf>
    <xf numFmtId="2" fontId="15" fillId="5" borderId="15" xfId="0" applyNumberFormat="1" applyFont="1" applyFill="1" applyBorder="1" applyAlignment="1">
      <alignment horizontal="center" vertical="center"/>
    </xf>
    <xf numFmtId="2" fontId="15" fillId="0" borderId="2" xfId="0" applyNumberFormat="1" applyFont="1" applyFill="1" applyBorder="1" applyAlignment="1">
      <alignment horizontal="center" vertical="center"/>
    </xf>
    <xf numFmtId="2" fontId="15" fillId="0" borderId="0"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36" fillId="0" borderId="13"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9" xfId="0" applyFont="1" applyFill="1" applyBorder="1" applyAlignment="1">
      <alignment horizontal="center" vertical="center" wrapText="1"/>
    </xf>
    <xf numFmtId="2" fontId="0" fillId="0" borderId="4" xfId="0" applyNumberFormat="1" applyBorder="1" applyAlignment="1">
      <alignment horizontal="center" vertical="center"/>
    </xf>
    <xf numFmtId="2" fontId="0" fillId="0" borderId="8" xfId="0" applyNumberFormat="1" applyBorder="1" applyAlignment="1">
      <alignment horizontal="center" vertical="center"/>
    </xf>
    <xf numFmtId="0" fontId="83" fillId="5" borderId="1" xfId="0" applyFont="1" applyFill="1" applyBorder="1" applyAlignment="1">
      <alignment horizontal="center" vertical="center" textRotation="90"/>
    </xf>
    <xf numFmtId="0" fontId="85" fillId="0" borderId="1" xfId="0" applyFont="1" applyBorder="1" applyAlignment="1">
      <alignment horizontal="center" vertical="center"/>
    </xf>
    <xf numFmtId="0" fontId="85" fillId="0" borderId="3" xfId="0" applyFont="1" applyBorder="1" applyAlignment="1">
      <alignment horizontal="center" vertical="center"/>
    </xf>
    <xf numFmtId="0" fontId="85" fillId="0" borderId="4" xfId="0" applyFont="1" applyBorder="1" applyAlignment="1">
      <alignment horizontal="center" vertical="center"/>
    </xf>
    <xf numFmtId="0" fontId="85" fillId="0" borderId="5" xfId="0" applyFont="1" applyBorder="1" applyAlignment="1">
      <alignment horizontal="center" vertical="center"/>
    </xf>
    <xf numFmtId="0" fontId="85" fillId="0" borderId="7" xfId="0" applyFont="1" applyBorder="1" applyAlignment="1">
      <alignment horizontal="center" vertical="center"/>
    </xf>
    <xf numFmtId="0" fontId="85" fillId="0" borderId="8" xfId="0" applyFont="1" applyBorder="1" applyAlignment="1">
      <alignment horizontal="center" vertical="center"/>
    </xf>
    <xf numFmtId="0" fontId="85" fillId="0" borderId="9" xfId="0" applyFont="1" applyBorder="1" applyAlignment="1">
      <alignment horizontal="center" vertical="center"/>
    </xf>
    <xf numFmtId="0" fontId="6" fillId="7" borderId="15" xfId="0" applyFont="1" applyFill="1" applyBorder="1" applyAlignment="1">
      <alignment horizontal="center" vertical="center"/>
    </xf>
    <xf numFmtId="0" fontId="56" fillId="4" borderId="0" xfId="0" applyFont="1" applyFill="1" applyBorder="1" applyAlignment="1">
      <alignment horizontal="center" vertical="center"/>
    </xf>
    <xf numFmtId="0" fontId="56" fillId="4" borderId="6" xfId="0" applyFont="1" applyFill="1" applyBorder="1" applyAlignment="1">
      <alignment horizontal="center" vertical="center"/>
    </xf>
    <xf numFmtId="0" fontId="56" fillId="4" borderId="3" xfId="0" applyFont="1" applyFill="1" applyBorder="1" applyAlignment="1">
      <alignment horizontal="center" vertical="center"/>
    </xf>
    <xf numFmtId="0" fontId="56" fillId="4" borderId="4" xfId="0" applyFont="1" applyFill="1" applyBorder="1" applyAlignment="1">
      <alignment horizontal="center" vertical="center"/>
    </xf>
    <xf numFmtId="0" fontId="56" fillId="4" borderId="5" xfId="0" applyFont="1" applyFill="1" applyBorder="1" applyAlignment="1">
      <alignment horizontal="center" vertical="center"/>
    </xf>
    <xf numFmtId="0" fontId="56" fillId="4" borderId="8" xfId="0" applyFont="1" applyFill="1" applyBorder="1" applyAlignment="1">
      <alignment horizontal="center" vertical="center"/>
    </xf>
    <xf numFmtId="0" fontId="56" fillId="4" borderId="9" xfId="0" applyFont="1" applyFill="1" applyBorder="1" applyAlignment="1">
      <alignment horizontal="center" vertical="center"/>
    </xf>
    <xf numFmtId="0" fontId="56" fillId="4" borderId="7" xfId="0" applyFont="1" applyFill="1" applyBorder="1" applyAlignment="1">
      <alignment horizontal="center" vertical="center"/>
    </xf>
    <xf numFmtId="0" fontId="52" fillId="4" borderId="3" xfId="0" applyFont="1" applyFill="1" applyBorder="1" applyAlignment="1">
      <alignment horizontal="center" vertical="center"/>
    </xf>
    <xf numFmtId="0" fontId="52" fillId="4" borderId="4" xfId="0" applyFont="1" applyFill="1" applyBorder="1" applyAlignment="1">
      <alignment horizontal="center" vertical="center"/>
    </xf>
    <xf numFmtId="0" fontId="52" fillId="4" borderId="5" xfId="0" applyFont="1" applyFill="1" applyBorder="1" applyAlignment="1">
      <alignment horizontal="center" vertical="center"/>
    </xf>
    <xf numFmtId="0" fontId="52" fillId="4" borderId="7" xfId="0" applyFont="1" applyFill="1" applyBorder="1" applyAlignment="1">
      <alignment horizontal="center" vertical="center"/>
    </xf>
    <xf numFmtId="0" fontId="52" fillId="4" borderId="8" xfId="0" applyFont="1" applyFill="1" applyBorder="1" applyAlignment="1">
      <alignment horizontal="center" vertical="center"/>
    </xf>
    <xf numFmtId="0" fontId="52" fillId="4" borderId="9" xfId="0" applyFont="1" applyFill="1" applyBorder="1" applyAlignment="1">
      <alignment horizontal="center" vertical="center"/>
    </xf>
    <xf numFmtId="0" fontId="15" fillId="7" borderId="7" xfId="0" applyFont="1" applyFill="1" applyBorder="1" applyAlignment="1">
      <alignment horizontal="right" vertical="center"/>
    </xf>
    <xf numFmtId="0" fontId="15" fillId="7" borderId="8" xfId="0" applyFont="1" applyFill="1" applyBorder="1" applyAlignment="1">
      <alignment horizontal="right" vertical="center"/>
    </xf>
    <xf numFmtId="0" fontId="15" fillId="7" borderId="9" xfId="0" applyFont="1" applyFill="1" applyBorder="1" applyAlignment="1">
      <alignment horizontal="right" vertical="center"/>
    </xf>
    <xf numFmtId="0" fontId="15" fillId="5" borderId="2" xfId="0" applyFont="1" applyFill="1" applyBorder="1" applyAlignment="1">
      <alignment horizontal="center" vertical="center" textRotation="90" wrapText="1"/>
    </xf>
    <xf numFmtId="0" fontId="15" fillId="5" borderId="7" xfId="0" applyFont="1" applyFill="1" applyBorder="1" applyAlignment="1">
      <alignment horizontal="center" vertical="center" textRotation="90" wrapText="1"/>
    </xf>
    <xf numFmtId="0" fontId="6" fillId="7" borderId="2"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5" fillId="5" borderId="3" xfId="0" applyFont="1" applyFill="1" applyBorder="1" applyAlignment="1">
      <alignment horizontal="center" vertical="center" textRotation="90" wrapText="1"/>
    </xf>
    <xf numFmtId="0" fontId="0" fillId="7" borderId="1" xfId="0" applyFill="1" applyBorder="1" applyAlignment="1">
      <alignment horizontal="center" vertical="center"/>
    </xf>
    <xf numFmtId="0" fontId="28" fillId="7" borderId="10" xfId="0" applyFont="1" applyFill="1" applyBorder="1" applyAlignment="1">
      <alignment horizontal="center" vertical="center"/>
    </xf>
    <xf numFmtId="0" fontId="28" fillId="7" borderId="12" xfId="0" applyFont="1" applyFill="1" applyBorder="1" applyAlignment="1">
      <alignment horizontal="center" vertical="center"/>
    </xf>
    <xf numFmtId="0" fontId="8" fillId="5" borderId="1" xfId="0" applyFont="1" applyFill="1" applyBorder="1" applyAlignment="1">
      <alignment horizontal="center" vertical="center" wrapText="1"/>
    </xf>
    <xf numFmtId="0" fontId="5" fillId="2" borderId="1" xfId="0" applyFont="1" applyFill="1" applyBorder="1" applyAlignment="1">
      <alignment horizontal="right" vertical="center"/>
    </xf>
    <xf numFmtId="0" fontId="91" fillId="0" borderId="13" xfId="0" applyFont="1" applyBorder="1" applyAlignment="1">
      <alignment horizontal="center"/>
    </xf>
    <xf numFmtId="0" fontId="91" fillId="0" borderId="14" xfId="0" applyFont="1" applyBorder="1" applyAlignment="1">
      <alignment horizontal="center"/>
    </xf>
    <xf numFmtId="0" fontId="91" fillId="0" borderId="15" xfId="0" applyFont="1"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15" fillId="0" borderId="1" xfId="0" applyFont="1" applyFill="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8" fillId="0" borderId="1" xfId="0" applyFont="1" applyBorder="1" applyAlignment="1">
      <alignment horizontal="center" vertical="center"/>
    </xf>
    <xf numFmtId="0" fontId="5" fillId="0" borderId="12" xfId="0" applyFont="1" applyBorder="1" applyAlignment="1">
      <alignment horizontal="left" vertical="center"/>
    </xf>
    <xf numFmtId="0" fontId="53" fillId="4" borderId="13" xfId="0" applyFont="1" applyFill="1" applyBorder="1" applyAlignment="1">
      <alignment horizontal="center"/>
    </xf>
    <xf numFmtId="0" fontId="53" fillId="4" borderId="14" xfId="0" applyFont="1" applyFill="1" applyBorder="1" applyAlignment="1">
      <alignment horizontal="center"/>
    </xf>
    <xf numFmtId="0" fontId="53" fillId="4" borderId="15" xfId="0" applyFont="1" applyFill="1" applyBorder="1" applyAlignment="1">
      <alignment horizontal="center"/>
    </xf>
    <xf numFmtId="0" fontId="9" fillId="7" borderId="1" xfId="0" applyFont="1" applyFill="1" applyBorder="1" applyAlignment="1">
      <alignment horizontal="center" vertical="center"/>
    </xf>
    <xf numFmtId="0" fontId="9" fillId="7" borderId="13"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4" xfId="0" applyFont="1" applyFill="1" applyBorder="1" applyAlignment="1">
      <alignment horizontal="center" vertical="center"/>
    </xf>
    <xf numFmtId="0" fontId="5" fillId="7" borderId="15" xfId="0" applyFont="1" applyFill="1" applyBorder="1" applyAlignment="1">
      <alignment horizontal="center" vertical="center"/>
    </xf>
    <xf numFmtId="4" fontId="5" fillId="0" borderId="13" xfId="0" applyNumberFormat="1" applyFont="1" applyBorder="1" applyAlignment="1">
      <alignment horizontal="center" vertical="center"/>
    </xf>
    <xf numFmtId="4" fontId="5" fillId="0" borderId="14"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1" xfId="0" applyNumberFormat="1" applyFont="1" applyBorder="1" applyAlignment="1">
      <alignment horizontal="center" vertical="center"/>
    </xf>
    <xf numFmtId="4" fontId="6" fillId="7" borderId="1" xfId="0" applyNumberFormat="1" applyFont="1" applyFill="1" applyBorder="1" applyAlignment="1">
      <alignment horizontal="left" vertical="center"/>
    </xf>
    <xf numFmtId="4" fontId="9" fillId="0" borderId="1" xfId="0" applyNumberFormat="1" applyFont="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4" fontId="5" fillId="7" borderId="1" xfId="0" applyNumberFormat="1" applyFont="1" applyFill="1" applyBorder="1" applyAlignment="1">
      <alignment horizontal="left" vertical="center"/>
    </xf>
    <xf numFmtId="4" fontId="8" fillId="0" borderId="1" xfId="0" applyNumberFormat="1" applyFont="1" applyBorder="1" applyAlignment="1">
      <alignment horizontal="center" vertical="center"/>
    </xf>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56" fillId="4" borderId="1" xfId="0" applyFont="1" applyFill="1" applyBorder="1" applyAlignment="1">
      <alignment horizontal="center" vertical="center"/>
    </xf>
    <xf numFmtId="0" fontId="6" fillId="0" borderId="1" xfId="0" applyFont="1" applyBorder="1" applyAlignment="1">
      <alignment horizontal="left" vertical="center"/>
    </xf>
    <xf numFmtId="10" fontId="5" fillId="0" borderId="1" xfId="0" applyNumberFormat="1" applyFont="1" applyBorder="1" applyAlignment="1">
      <alignment horizontal="center" vertical="center"/>
    </xf>
    <xf numFmtId="0" fontId="8" fillId="5" borderId="7"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6" fillId="7" borderId="1" xfId="0" applyFont="1" applyFill="1" applyBorder="1" applyAlignment="1">
      <alignment horizontal="left" vertical="center"/>
    </xf>
    <xf numFmtId="2" fontId="0" fillId="0" borderId="2" xfId="0" applyNumberFormat="1"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2" fontId="0" fillId="0" borderId="9" xfId="0" applyNumberFormat="1" applyBorder="1" applyAlignment="1">
      <alignment horizontal="center"/>
    </xf>
    <xf numFmtId="2" fontId="0" fillId="23" borderId="2" xfId="0" applyNumberFormat="1" applyFill="1" applyBorder="1" applyAlignment="1">
      <alignment horizontal="center"/>
    </xf>
    <xf numFmtId="2" fontId="0" fillId="23" borderId="0" xfId="0" applyNumberFormat="1" applyFill="1" applyBorder="1" applyAlignment="1">
      <alignment horizontal="center"/>
    </xf>
    <xf numFmtId="2" fontId="0" fillId="23" borderId="3" xfId="0" applyNumberFormat="1" applyFill="1" applyBorder="1" applyAlignment="1">
      <alignment horizontal="center"/>
    </xf>
    <xf numFmtId="2" fontId="0" fillId="23" borderId="5" xfId="0" applyNumberFormat="1" applyFill="1" applyBorder="1" applyAlignment="1">
      <alignment horizontal="center"/>
    </xf>
    <xf numFmtId="2" fontId="0" fillId="23" borderId="6" xfId="0" applyNumberFormat="1" applyFill="1" applyBorder="1" applyAlignment="1">
      <alignment horizontal="center"/>
    </xf>
    <xf numFmtId="2" fontId="0" fillId="0" borderId="0" xfId="0" applyNumberFormat="1" applyBorder="1" applyAlignment="1">
      <alignment horizontal="center"/>
    </xf>
    <xf numFmtId="2" fontId="0" fillId="0" borderId="3" xfId="0" applyNumberFormat="1" applyBorder="1" applyAlignment="1">
      <alignment horizontal="center"/>
    </xf>
    <xf numFmtId="2" fontId="0" fillId="0" borderId="5" xfId="0" applyNumberFormat="1" applyBorder="1" applyAlignment="1">
      <alignment horizontal="center"/>
    </xf>
    <xf numFmtId="2" fontId="0" fillId="2" borderId="2" xfId="0" applyNumberFormat="1" applyFill="1" applyBorder="1" applyAlignment="1">
      <alignment horizontal="center"/>
    </xf>
    <xf numFmtId="2" fontId="0" fillId="2" borderId="6" xfId="0" applyNumberFormat="1" applyFill="1" applyBorder="1" applyAlignment="1">
      <alignment horizontal="center"/>
    </xf>
    <xf numFmtId="0" fontId="0" fillId="22" borderId="2" xfId="0" applyFill="1" applyBorder="1" applyAlignment="1">
      <alignment horizontal="center"/>
    </xf>
    <xf numFmtId="0" fontId="0" fillId="22" borderId="6" xfId="0" applyFill="1" applyBorder="1" applyAlignment="1">
      <alignment horizontal="center"/>
    </xf>
    <xf numFmtId="0" fontId="0" fillId="22" borderId="7" xfId="0" applyFill="1" applyBorder="1" applyAlignment="1">
      <alignment horizontal="center"/>
    </xf>
    <xf numFmtId="0" fontId="0" fillId="22" borderId="9" xfId="0" applyFill="1" applyBorder="1" applyAlignment="1">
      <alignment horizontal="center"/>
    </xf>
    <xf numFmtId="2" fontId="0" fillId="23" borderId="7" xfId="0" applyNumberFormat="1" applyFill="1" applyBorder="1" applyAlignment="1">
      <alignment horizontal="center"/>
    </xf>
    <xf numFmtId="2" fontId="0" fillId="23" borderId="9" xfId="0" applyNumberFormat="1" applyFill="1" applyBorder="1" applyAlignment="1">
      <alignment horizontal="center"/>
    </xf>
    <xf numFmtId="0" fontId="0" fillId="22" borderId="3" xfId="0" applyFill="1" applyBorder="1" applyAlignment="1">
      <alignment horizontal="center"/>
    </xf>
    <xf numFmtId="0" fontId="0" fillId="22" borderId="5" xfId="0" applyFill="1" applyBorder="1" applyAlignment="1">
      <alignment horizontal="center"/>
    </xf>
    <xf numFmtId="0" fontId="0" fillId="0" borderId="2"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0" borderId="9" xfId="0" applyFill="1" applyBorder="1" applyAlignment="1">
      <alignment horizontal="center"/>
    </xf>
    <xf numFmtId="0" fontId="0" fillId="0" borderId="0" xfId="0" applyFill="1"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3" xfId="0" applyFill="1" applyBorder="1" applyAlignment="1">
      <alignment horizontal="center"/>
    </xf>
    <xf numFmtId="0" fontId="0" fillId="0" borderId="5" xfId="0" applyFill="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21" borderId="2" xfId="0" applyFill="1" applyBorder="1" applyAlignment="1">
      <alignment horizontal="center"/>
    </xf>
    <xf numFmtId="0" fontId="0" fillId="21" borderId="6" xfId="0" applyFill="1" applyBorder="1" applyAlignment="1">
      <alignment horizontal="center"/>
    </xf>
    <xf numFmtId="0" fontId="0" fillId="21" borderId="7" xfId="0" applyFill="1" applyBorder="1" applyAlignment="1">
      <alignment horizontal="center"/>
    </xf>
    <xf numFmtId="0" fontId="0" fillId="21" borderId="9" xfId="0" applyFill="1" applyBorder="1" applyAlignment="1">
      <alignment horizontal="center"/>
    </xf>
    <xf numFmtId="0" fontId="0" fillId="21" borderId="3" xfId="0" applyFill="1" applyBorder="1" applyAlignment="1">
      <alignment horizontal="center"/>
    </xf>
    <xf numFmtId="0" fontId="0" fillId="21" borderId="5" xfId="0" applyFill="1" applyBorder="1" applyAlignment="1">
      <alignment horizontal="center"/>
    </xf>
    <xf numFmtId="1" fontId="0" fillId="0" borderId="2" xfId="0" applyNumberFormat="1" applyBorder="1" applyAlignment="1">
      <alignment horizontal="center"/>
    </xf>
    <xf numFmtId="1" fontId="0" fillId="0" borderId="0" xfId="0" applyNumberFormat="1" applyBorder="1" applyAlignment="1">
      <alignment horizontal="center"/>
    </xf>
    <xf numFmtId="1" fontId="0" fillId="0" borderId="6" xfId="0" applyNumberFormat="1" applyBorder="1" applyAlignment="1">
      <alignment horizontal="center"/>
    </xf>
    <xf numFmtId="1" fontId="0" fillId="0" borderId="7" xfId="0" applyNumberFormat="1" applyBorder="1" applyAlignment="1">
      <alignment horizontal="center"/>
    </xf>
    <xf numFmtId="1" fontId="0" fillId="0" borderId="9" xfId="0" applyNumberFormat="1" applyBorder="1" applyAlignment="1">
      <alignment horizontal="center"/>
    </xf>
    <xf numFmtId="1" fontId="0" fillId="0" borderId="3" xfId="0" applyNumberFormat="1" applyBorder="1" applyAlignment="1">
      <alignment horizontal="center"/>
    </xf>
    <xf numFmtId="1" fontId="0" fillId="0" borderId="5" xfId="0" applyNumberForma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16" borderId="3" xfId="0" applyFill="1" applyBorder="1" applyAlignment="1">
      <alignment horizontal="center"/>
    </xf>
    <xf numFmtId="0" fontId="0" fillId="16" borderId="5" xfId="0" applyFill="1" applyBorder="1" applyAlignment="1">
      <alignment horizontal="center"/>
    </xf>
    <xf numFmtId="0" fontId="0" fillId="0" borderId="4" xfId="0" applyBorder="1" applyAlignment="1">
      <alignment horizontal="center"/>
    </xf>
    <xf numFmtId="0" fontId="0" fillId="16" borderId="13" xfId="0" applyFill="1" applyBorder="1" applyAlignment="1">
      <alignment horizontal="center"/>
    </xf>
    <xf numFmtId="0" fontId="0" fillId="16" borderId="15" xfId="0" applyFill="1" applyBorder="1" applyAlignment="1">
      <alignment horizontal="center"/>
    </xf>
    <xf numFmtId="0" fontId="0" fillId="19" borderId="4" xfId="0" applyFill="1" applyBorder="1" applyAlignment="1">
      <alignment horizontal="center"/>
    </xf>
    <xf numFmtId="0" fontId="0" fillId="16" borderId="14" xfId="0" applyFill="1" applyBorder="1" applyAlignment="1">
      <alignment horizontal="center"/>
    </xf>
    <xf numFmtId="0" fontId="0" fillId="16" borderId="2" xfId="0" applyFill="1" applyBorder="1" applyAlignment="1">
      <alignment horizontal="center"/>
    </xf>
    <xf numFmtId="0" fontId="0" fillId="16" borderId="6" xfId="0" applyFill="1" applyBorder="1" applyAlignment="1">
      <alignment horizontal="center"/>
    </xf>
    <xf numFmtId="0" fontId="0" fillId="16" borderId="3" xfId="0" applyFill="1" applyBorder="1" applyAlignment="1">
      <alignment horizontal="center" vertical="center"/>
    </xf>
    <xf numFmtId="0" fontId="0" fillId="16" borderId="4" xfId="0" applyFill="1" applyBorder="1" applyAlignment="1">
      <alignment horizontal="center" vertical="center"/>
    </xf>
    <xf numFmtId="0" fontId="0" fillId="16" borderId="5" xfId="0" applyFill="1" applyBorder="1" applyAlignment="1">
      <alignment horizontal="center" vertical="center"/>
    </xf>
    <xf numFmtId="0" fontId="0" fillId="16" borderId="7" xfId="0" applyFill="1" applyBorder="1" applyAlignment="1">
      <alignment horizontal="center" vertical="center"/>
    </xf>
    <xf numFmtId="0" fontId="0" fillId="16" borderId="8" xfId="0" applyFill="1" applyBorder="1" applyAlignment="1">
      <alignment horizontal="center" vertical="center"/>
    </xf>
    <xf numFmtId="0" fontId="0" fillId="16" borderId="9" xfId="0" applyFill="1" applyBorder="1" applyAlignment="1">
      <alignment horizontal="center" vertical="center"/>
    </xf>
    <xf numFmtId="0" fontId="0" fillId="16" borderId="7" xfId="0" applyFill="1" applyBorder="1" applyAlignment="1">
      <alignment horizontal="center"/>
    </xf>
    <xf numFmtId="0" fontId="0" fillId="16" borderId="9" xfId="0" applyFill="1" applyBorder="1" applyAlignment="1">
      <alignment horizontal="center"/>
    </xf>
    <xf numFmtId="2" fontId="0" fillId="0" borderId="13" xfId="0" applyNumberFormat="1" applyBorder="1" applyAlignment="1">
      <alignment horizontal="center"/>
    </xf>
    <xf numFmtId="2" fontId="0" fillId="0" borderId="15" xfId="0" applyNumberFormat="1" applyBorder="1" applyAlignment="1">
      <alignment horizontal="center"/>
    </xf>
    <xf numFmtId="0" fontId="0" fillId="21" borderId="13" xfId="0" applyFill="1" applyBorder="1" applyAlignment="1">
      <alignment horizontal="center"/>
    </xf>
    <xf numFmtId="0" fontId="0" fillId="21" borderId="15" xfId="0" applyFill="1" applyBorder="1" applyAlignment="1">
      <alignment horizontal="center"/>
    </xf>
    <xf numFmtId="0" fontId="0" fillId="0" borderId="13" xfId="0" applyFill="1" applyBorder="1" applyAlignment="1">
      <alignment horizontal="center"/>
    </xf>
    <xf numFmtId="0" fontId="0" fillId="0" borderId="15" xfId="0" applyFill="1" applyBorder="1" applyAlignment="1">
      <alignment horizontal="center"/>
    </xf>
    <xf numFmtId="2" fontId="0" fillId="0" borderId="4" xfId="0" applyNumberFormat="1" applyBorder="1" applyAlignment="1">
      <alignment horizontal="center"/>
    </xf>
    <xf numFmtId="0" fontId="7" fillId="7" borderId="2" xfId="0" applyFont="1" applyFill="1" applyBorder="1" applyAlignment="1">
      <alignment horizontal="center"/>
    </xf>
    <xf numFmtId="0" fontId="7" fillId="7" borderId="0" xfId="0" applyFont="1" applyFill="1" applyAlignment="1">
      <alignment horizontal="center"/>
    </xf>
    <xf numFmtId="1" fontId="0" fillId="0" borderId="8" xfId="0" applyNumberFormat="1" applyBorder="1" applyAlignment="1">
      <alignment horizontal="center"/>
    </xf>
    <xf numFmtId="0" fontId="0" fillId="0" borderId="8" xfId="0" applyBorder="1" applyAlignment="1">
      <alignment horizontal="center"/>
    </xf>
    <xf numFmtId="2" fontId="15" fillId="7" borderId="2" xfId="0" applyNumberFormat="1" applyFont="1" applyFill="1" applyBorder="1" applyAlignment="1">
      <alignment horizontal="center" vertical="center"/>
    </xf>
    <xf numFmtId="2" fontId="15" fillId="7" borderId="6" xfId="0" applyNumberFormat="1" applyFont="1" applyFill="1" applyBorder="1" applyAlignment="1">
      <alignment horizontal="center" vertical="center"/>
    </xf>
    <xf numFmtId="0" fontId="3" fillId="7" borderId="2" xfId="0" applyFont="1" applyFill="1" applyBorder="1" applyAlignment="1">
      <alignment horizontal="left"/>
    </xf>
    <xf numFmtId="0" fontId="3" fillId="7" borderId="0" xfId="0" applyFont="1" applyFill="1" applyAlignment="1">
      <alignment horizontal="left"/>
    </xf>
    <xf numFmtId="0" fontId="0" fillId="0" borderId="8" xfId="0" applyFill="1" applyBorder="1" applyAlignment="1">
      <alignment horizontal="center"/>
    </xf>
    <xf numFmtId="1" fontId="0" fillId="0" borderId="4" xfId="0" applyNumberFormat="1" applyBorder="1" applyAlignment="1">
      <alignment horizontal="center"/>
    </xf>
    <xf numFmtId="0" fontId="19" fillId="21" borderId="3" xfId="0" applyFont="1" applyFill="1" applyBorder="1" applyAlignment="1">
      <alignment horizontal="center"/>
    </xf>
    <xf numFmtId="0" fontId="19" fillId="21" borderId="5" xfId="0" applyFont="1" applyFill="1" applyBorder="1" applyAlignment="1">
      <alignment horizontal="center"/>
    </xf>
    <xf numFmtId="0" fontId="3" fillId="0" borderId="13" xfId="0" applyFont="1" applyBorder="1" applyAlignment="1">
      <alignment horizontal="center"/>
    </xf>
    <xf numFmtId="0" fontId="3" fillId="0" borderId="15" xfId="0" applyFont="1" applyBorder="1" applyAlignment="1">
      <alignment horizontal="center"/>
    </xf>
    <xf numFmtId="1" fontId="0" fillId="0" borderId="13" xfId="0" applyNumberFormat="1" applyBorder="1" applyAlignment="1">
      <alignment horizontal="center"/>
    </xf>
    <xf numFmtId="1" fontId="0" fillId="0" borderId="15" xfId="0" applyNumberFormat="1" applyBorder="1" applyAlignment="1">
      <alignment horizontal="center"/>
    </xf>
    <xf numFmtId="0" fontId="83" fillId="0" borderId="0" xfId="0" applyFont="1" applyAlignment="1">
      <alignment horizontal="center" vertical="center"/>
    </xf>
    <xf numFmtId="0" fontId="5" fillId="0" borderId="0" xfId="0" applyFont="1" applyAlignment="1">
      <alignment horizontal="center" vertical="center" wrapText="1"/>
    </xf>
    <xf numFmtId="0" fontId="3" fillId="7" borderId="3" xfId="0" applyFont="1" applyFill="1" applyBorder="1" applyAlignment="1">
      <alignment horizontal="center" vertical="center"/>
    </xf>
    <xf numFmtId="0" fontId="3" fillId="7" borderId="5" xfId="0" applyFont="1" applyFill="1" applyBorder="1" applyAlignment="1">
      <alignment horizontal="center" vertical="center"/>
    </xf>
    <xf numFmtId="0" fontId="20" fillId="0" borderId="4" xfId="0" applyFont="1" applyBorder="1" applyAlignment="1">
      <alignment horizontal="center"/>
    </xf>
    <xf numFmtId="0" fontId="3" fillId="16" borderId="0" xfId="0" applyFont="1" applyFill="1" applyBorder="1" applyAlignment="1">
      <alignment horizontal="center" vertical="top"/>
    </xf>
    <xf numFmtId="0" fontId="0" fillId="3" borderId="35"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7" fillId="7" borderId="7" xfId="0" applyFont="1" applyFill="1" applyBorder="1" applyAlignment="1">
      <alignment horizontal="center"/>
    </xf>
    <xf numFmtId="0" fontId="7" fillId="7" borderId="8" xfId="0" applyFont="1" applyFill="1" applyBorder="1" applyAlignment="1">
      <alignment horizontal="center"/>
    </xf>
    <xf numFmtId="0" fontId="3" fillId="7" borderId="2" xfId="0" applyFont="1" applyFill="1" applyBorder="1" applyAlignment="1">
      <alignment horizontal="center" vertical="center"/>
    </xf>
    <xf numFmtId="0" fontId="3" fillId="7" borderId="6" xfId="0" applyFont="1" applyFill="1" applyBorder="1" applyAlignment="1">
      <alignment horizontal="center" vertical="center"/>
    </xf>
    <xf numFmtId="0" fontId="11" fillId="22" borderId="10" xfId="0" applyFont="1" applyFill="1" applyBorder="1" applyAlignment="1">
      <alignment horizontal="center" vertical="center" wrapText="1"/>
    </xf>
    <xf numFmtId="0" fontId="11" fillId="22" borderId="11" xfId="0" applyFont="1" applyFill="1" applyBorder="1" applyAlignment="1">
      <alignment horizontal="center" vertical="center" wrapText="1"/>
    </xf>
    <xf numFmtId="0" fontId="11" fillId="22" borderId="12" xfId="0" applyFont="1" applyFill="1" applyBorder="1" applyAlignment="1">
      <alignment horizontal="center" vertical="center" wrapText="1"/>
    </xf>
    <xf numFmtId="0" fontId="11" fillId="22" borderId="10" xfId="0" applyFont="1" applyFill="1" applyBorder="1" applyAlignment="1">
      <alignment horizontal="center" vertical="center"/>
    </xf>
    <xf numFmtId="0" fontId="11" fillId="22" borderId="11" xfId="0" applyFont="1" applyFill="1" applyBorder="1" applyAlignment="1">
      <alignment horizontal="center" vertical="center"/>
    </xf>
    <xf numFmtId="0" fontId="11" fillId="22" borderId="12" xfId="0" applyFont="1" applyFill="1" applyBorder="1" applyAlignment="1">
      <alignment horizontal="center" vertical="center"/>
    </xf>
    <xf numFmtId="0" fontId="11" fillId="23" borderId="10" xfId="0" applyFont="1" applyFill="1" applyBorder="1" applyAlignment="1">
      <alignment horizontal="center" vertical="center"/>
    </xf>
    <xf numFmtId="0" fontId="11" fillId="23" borderId="11" xfId="0" applyFont="1" applyFill="1" applyBorder="1" applyAlignment="1">
      <alignment horizontal="center" vertical="center"/>
    </xf>
    <xf numFmtId="0" fontId="11" fillId="23" borderId="12"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9" xfId="0" applyFont="1" applyFill="1" applyBorder="1" applyAlignment="1">
      <alignment horizontal="center" vertical="center"/>
    </xf>
    <xf numFmtId="2" fontId="0" fillId="23" borderId="4" xfId="0" applyNumberFormat="1" applyFill="1" applyBorder="1" applyAlignment="1">
      <alignment horizontal="center"/>
    </xf>
    <xf numFmtId="2" fontId="0" fillId="0" borderId="8" xfId="0" applyNumberFormat="1" applyBorder="1" applyAlignment="1">
      <alignment horizontal="center"/>
    </xf>
    <xf numFmtId="0" fontId="7" fillId="7" borderId="9" xfId="0" applyFont="1" applyFill="1" applyBorder="1" applyAlignment="1">
      <alignment horizontal="center"/>
    </xf>
    <xf numFmtId="0" fontId="0" fillId="0" borderId="0" xfId="0" applyAlignment="1">
      <alignment horizontal="center"/>
    </xf>
    <xf numFmtId="2" fontId="0" fillId="0" borderId="2" xfId="0" applyNumberFormat="1" applyFill="1" applyBorder="1" applyAlignment="1">
      <alignment horizontal="center"/>
    </xf>
    <xf numFmtId="2" fontId="0" fillId="0" borderId="6" xfId="0" applyNumberFormat="1" applyFill="1" applyBorder="1" applyAlignment="1">
      <alignment horizontal="center"/>
    </xf>
    <xf numFmtId="1" fontId="0" fillId="0" borderId="0" xfId="0" applyNumberFormat="1" applyBorder="1"/>
    <xf numFmtId="1" fontId="0" fillId="0" borderId="1" xfId="0" applyNumberFormat="1" applyBorder="1"/>
  </cellXfs>
  <cellStyles count="5">
    <cellStyle name="Collegamento ipertestuale" xfId="2" builtinId="8" hidden="1"/>
    <cellStyle name="Collegamento ipertestuale" xfId="4" builtinId="8"/>
    <cellStyle name="Collegamento ipertestuale visitato" xfId="3" builtinId="9" hidden="1"/>
    <cellStyle name="Normale" xfId="0" builtinId="0"/>
    <cellStyle name="Normale 2" xfId="1" xr:uid="{00000000-0005-0000-0000-000004000000}"/>
  </cellStyles>
  <dxfs count="0"/>
  <tableStyles count="0" defaultTableStyle="TableStyleMedium9" defaultPivotStyle="PivotStyleLight16"/>
  <colors>
    <mruColors>
      <color rgb="FFFF572F"/>
      <color rgb="FF00CC00"/>
      <color rgb="FFCCEAB8"/>
      <color rgb="FFE3BBA0"/>
      <color rgb="FF8A9AB4"/>
      <color rgb="FFAE8F7D"/>
      <color rgb="FF929000"/>
      <color rgb="FFFF9300"/>
      <color rgb="FFFF6948"/>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GENNAIO</a:t>
            </a:r>
          </a:p>
        </c:rich>
      </c:tx>
      <c:overlay val="0"/>
    </c:title>
    <c:autoTitleDeleted val="0"/>
    <c:plotArea>
      <c:layout/>
      <c:scatterChart>
        <c:scatterStyle val="lineMarker"/>
        <c:varyColors val="0"/>
        <c:ser>
          <c:idx val="0"/>
          <c:order val="0"/>
          <c:tx>
            <c:v>Pv</c:v>
          </c:tx>
          <c:marker>
            <c:symbol val="none"/>
          </c:marker>
          <c:xVal>
            <c:numRef>
              <c:f>'14.Condensazione'!$O$64:$O$71</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'14.Condensazione'!$N$64:$N$71</c:f>
              <c:numCache>
                <c:formatCode>0.00</c:formatCode>
                <c:ptCount val="8"/>
                <c:pt idx="0" formatCode="General">
                  <c:v>973</c:v>
                </c:pt>
                <c:pt idx="1">
                  <c:v>1152.9574044665437</c:v>
                </c:pt>
                <c:pt idx="2">
                  <c:v>1155.2068720223754</c:v>
                </c:pt>
                <c:pt idx="3">
                  <c:v>1215.1926735112233</c:v>
                </c:pt>
                <c:pt idx="4">
                  <c:v>1217.4421410670552</c:v>
                </c:pt>
                <c:pt idx="5">
                  <c:v>1789.0177481389401</c:v>
                </c:pt>
                <c:pt idx="6">
                  <c:v>1864</c:v>
                </c:pt>
                <c:pt idx="7">
                  <c:v>1864</c:v>
                </c:pt>
              </c:numCache>
            </c:numRef>
          </c:yVal>
          <c:smooth val="0"/>
          <c:extLst>
            <c:ext xmlns:c16="http://schemas.microsoft.com/office/drawing/2014/chart" uri="{C3380CC4-5D6E-409C-BE32-E72D297353CC}">
              <c16:uniqueId val="{00000000-C58D-7948-85C4-D28CF1CB663B}"/>
            </c:ext>
          </c:extLst>
        </c:ser>
        <c:ser>
          <c:idx val="1"/>
          <c:order val="1"/>
          <c:tx>
            <c:v>Psat</c:v>
          </c:tx>
          <c:marker>
            <c:symbol val="none"/>
          </c:marker>
          <c:xVal>
            <c:numRef>
              <c:f>'14.Condensazione'!$O$64:$O$71</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'14.Condensazione'!$M$64:$M$71</c:f>
              <c:numCache>
                <c:formatCode>0.00</c:formatCode>
                <c:ptCount val="8"/>
                <c:pt idx="0">
                  <c:v>1273.6259320427407</c:v>
                </c:pt>
                <c:pt idx="1">
                  <c:v>1356.8698440946855</c:v>
                </c:pt>
                <c:pt idx="2">
                  <c:v>1456.9585234113365</c:v>
                </c:pt>
                <c:pt idx="3">
                  <c:v>1525.1240946245348</c:v>
                </c:pt>
                <c:pt idx="4">
                  <c:v>1635.9797720044392</c:v>
                </c:pt>
                <c:pt idx="5">
                  <c:v>2182.7687096285531</c:v>
                </c:pt>
                <c:pt idx="6">
                  <c:v>2220.1412972970998</c:v>
                </c:pt>
                <c:pt idx="7">
                  <c:v>2336.9511438023419</c:v>
                </c:pt>
              </c:numCache>
            </c:numRef>
          </c:yVal>
          <c:smooth val="0"/>
          <c:extLst>
            <c:ext xmlns:c16="http://schemas.microsoft.com/office/drawing/2014/chart" uri="{C3380CC4-5D6E-409C-BE32-E72D297353CC}">
              <c16:uniqueId val="{00000001-C58D-7948-85C4-D28CF1CB663B}"/>
            </c:ext>
          </c:extLst>
        </c:ser>
        <c:dLbls>
          <c:showLegendKey val="0"/>
          <c:showVal val="0"/>
          <c:showCatName val="0"/>
          <c:showSerName val="0"/>
          <c:showPercent val="0"/>
          <c:showBubbleSize val="0"/>
        </c:dLbls>
        <c:axId val="73915776"/>
        <c:axId val="74216576"/>
      </c:scatterChart>
      <c:valAx>
        <c:axId val="73915776"/>
        <c:scaling>
          <c:orientation val="minMax"/>
        </c:scaling>
        <c:delete val="0"/>
        <c:axPos val="b"/>
        <c:numFmt formatCode="General" sourceLinked="1"/>
        <c:majorTickMark val="none"/>
        <c:minorTickMark val="none"/>
        <c:tickLblPos val="nextTo"/>
        <c:crossAx val="74216576"/>
        <c:crosses val="autoZero"/>
        <c:crossBetween val="midCat"/>
      </c:valAx>
      <c:valAx>
        <c:axId val="74216576"/>
        <c:scaling>
          <c:orientation val="minMax"/>
        </c:scaling>
        <c:delete val="0"/>
        <c:axPos val="l"/>
        <c:numFmt formatCode="General" sourceLinked="1"/>
        <c:majorTickMark val="none"/>
        <c:minorTickMark val="none"/>
        <c:tickLblPos val="nextTo"/>
        <c:crossAx val="73915776"/>
        <c:crosses val="autoZero"/>
        <c:crossBetween val="midCat"/>
      </c:valAx>
    </c:plotArea>
    <c:legend>
      <c:legendPos val="r"/>
      <c:overlay val="0"/>
    </c:legend>
    <c:plotVisOnly val="1"/>
    <c:dispBlanksAs val="gap"/>
    <c:showDLblsOverMax val="0"/>
  </c:chart>
  <c:printSettings>
    <c:headerFooter/>
    <c:pageMargins b="0.75000000000000466" l="0.70000000000000095" r="0.70000000000000095" t="0.750000000000004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APRILE</a:t>
            </a:r>
          </a:p>
        </c:rich>
      </c:tx>
      <c:overlay val="0"/>
    </c:title>
    <c:autoTitleDeleted val="0"/>
    <c:plotArea>
      <c:layout/>
      <c:scatterChart>
        <c:scatterStyle val="lineMarker"/>
        <c:varyColors val="0"/>
        <c:ser>
          <c:idx val="0"/>
          <c:order val="0"/>
          <c:tx>
            <c:v>Pv</c:v>
          </c:tx>
          <c:marker>
            <c:symbol val="none"/>
          </c:marker>
          <c:xVal>
            <c:numRef>
              <c:f>'14.Condensazione'!$AD$134:$AD$141</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'14.Condensazione'!$AC$134:$AC$141</c:f>
              <c:numCache>
                <c:formatCode>0.00</c:formatCode>
                <c:ptCount val="8"/>
                <c:pt idx="0">
                  <c:v>1180</c:v>
                </c:pt>
                <c:pt idx="1">
                  <c:v>1299.9716029776957</c:v>
                </c:pt>
                <c:pt idx="2">
                  <c:v>1301.4712480149169</c:v>
                </c:pt>
                <c:pt idx="3">
                  <c:v>1341.4617823408155</c:v>
                </c:pt>
                <c:pt idx="4">
                  <c:v>1342.9614273780367</c:v>
                </c:pt>
                <c:pt idx="5">
                  <c:v>1596.9950305210966</c:v>
                </c:pt>
                <c:pt idx="6">
                  <c:v>1646.9831984284699</c:v>
                </c:pt>
                <c:pt idx="7">
                  <c:v>1646.9831984284699</c:v>
                </c:pt>
              </c:numCache>
            </c:numRef>
          </c:yVal>
          <c:smooth val="0"/>
          <c:extLst>
            <c:ext xmlns:c16="http://schemas.microsoft.com/office/drawing/2014/chart" uri="{C3380CC4-5D6E-409C-BE32-E72D297353CC}">
              <c16:uniqueId val="{00000000-D8A7-F44E-9448-9E3291CE67D3}"/>
            </c:ext>
          </c:extLst>
        </c:ser>
        <c:ser>
          <c:idx val="1"/>
          <c:order val="1"/>
          <c:tx>
            <c:v>Psat</c:v>
          </c:tx>
          <c:marker>
            <c:symbol val="none"/>
          </c:marker>
          <c:xVal>
            <c:numRef>
              <c:f>'14.Condensazione'!$AD$134:$AD$141</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'14.Condensazione'!$AB$134:$AB$141</c:f>
              <c:numCache>
                <c:formatCode>0.00</c:formatCode>
                <c:ptCount val="8"/>
                <c:pt idx="0">
                  <c:v>1732.2609431434207</c:v>
                </c:pt>
                <c:pt idx="1">
                  <c:v>1796.748599535018</c:v>
                </c:pt>
                <c:pt idx="2">
                  <c:v>1872.3697454994342</c:v>
                </c:pt>
                <c:pt idx="3">
                  <c:v>1922.7739961097961</c:v>
                </c:pt>
                <c:pt idx="4">
                  <c:v>2003.0099305311035</c:v>
                </c:pt>
                <c:pt idx="5">
                  <c:v>2243.5750929516298</c:v>
                </c:pt>
                <c:pt idx="6">
                  <c:v>2266.4165128790078</c:v>
                </c:pt>
                <c:pt idx="7">
                  <c:v>2336.9511438023419</c:v>
                </c:pt>
              </c:numCache>
            </c:numRef>
          </c:yVal>
          <c:smooth val="0"/>
          <c:extLst>
            <c:ext xmlns:c16="http://schemas.microsoft.com/office/drawing/2014/chart" uri="{C3380CC4-5D6E-409C-BE32-E72D297353CC}">
              <c16:uniqueId val="{00000001-D8A7-F44E-9448-9E3291CE67D3}"/>
            </c:ext>
          </c:extLst>
        </c:ser>
        <c:dLbls>
          <c:showLegendKey val="0"/>
          <c:showVal val="0"/>
          <c:showCatName val="0"/>
          <c:showSerName val="0"/>
          <c:showPercent val="0"/>
          <c:showBubbleSize val="0"/>
        </c:dLbls>
        <c:axId val="74601984"/>
        <c:axId val="74603520"/>
      </c:scatterChart>
      <c:valAx>
        <c:axId val="74601984"/>
        <c:scaling>
          <c:orientation val="minMax"/>
        </c:scaling>
        <c:delete val="0"/>
        <c:axPos val="b"/>
        <c:numFmt formatCode="General" sourceLinked="1"/>
        <c:majorTickMark val="none"/>
        <c:minorTickMark val="none"/>
        <c:tickLblPos val="nextTo"/>
        <c:crossAx val="74603520"/>
        <c:crosses val="autoZero"/>
        <c:crossBetween val="midCat"/>
      </c:valAx>
      <c:valAx>
        <c:axId val="74603520"/>
        <c:scaling>
          <c:orientation val="minMax"/>
        </c:scaling>
        <c:delete val="0"/>
        <c:axPos val="l"/>
        <c:numFmt formatCode="0" sourceLinked="0"/>
        <c:majorTickMark val="none"/>
        <c:minorTickMark val="none"/>
        <c:tickLblPos val="nextTo"/>
        <c:crossAx val="74601984"/>
        <c:crosses val="autoZero"/>
        <c:crossBetween val="midCat"/>
      </c:valAx>
    </c:plotArea>
    <c:legend>
      <c:legendPos val="r"/>
      <c:overlay val="0"/>
    </c:legend>
    <c:plotVisOnly val="1"/>
    <c:dispBlanksAs val="gap"/>
    <c:showDLblsOverMax val="0"/>
  </c:chart>
  <c:printSettings>
    <c:headerFooter/>
    <c:pageMargins b="0.75000000000000566" l="0.70000000000000095" r="0.70000000000000095" t="0.750000000000005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NOVEMBRE</a:t>
            </a:r>
          </a:p>
        </c:rich>
      </c:tx>
      <c:overlay val="0"/>
    </c:title>
    <c:autoTitleDeleted val="0"/>
    <c:plotArea>
      <c:layout/>
      <c:scatterChart>
        <c:scatterStyle val="lineMarker"/>
        <c:varyColors val="0"/>
        <c:ser>
          <c:idx val="0"/>
          <c:order val="0"/>
          <c:tx>
            <c:v>Pv</c:v>
          </c:tx>
          <c:marker>
            <c:symbol val="none"/>
          </c:marker>
          <c:xVal>
            <c:numRef>
              <c:f>'14.Condensazione'!$AD$173:$AD$180</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'14.Condensazione'!$AC$173:$AC$180</c:f>
              <c:numCache>
                <c:formatCode>0.00</c:formatCode>
                <c:ptCount val="8"/>
                <c:pt idx="0">
                  <c:v>1259</c:v>
                </c:pt>
                <c:pt idx="1">
                  <c:v>1378.9716029776957</c:v>
                </c:pt>
                <c:pt idx="2">
                  <c:v>1380.4712480149169</c:v>
                </c:pt>
                <c:pt idx="3">
                  <c:v>1420.4617823408155</c:v>
                </c:pt>
                <c:pt idx="4">
                  <c:v>1421.9614273780367</c:v>
                </c:pt>
                <c:pt idx="5">
                  <c:v>1675.9950305210966</c:v>
                </c:pt>
                <c:pt idx="6">
                  <c:v>1725.9831984284699</c:v>
                </c:pt>
                <c:pt idx="7">
                  <c:v>1725.9831984284699</c:v>
                </c:pt>
              </c:numCache>
            </c:numRef>
          </c:yVal>
          <c:smooth val="0"/>
          <c:extLst>
            <c:ext xmlns:c16="http://schemas.microsoft.com/office/drawing/2014/chart" uri="{C3380CC4-5D6E-409C-BE32-E72D297353CC}">
              <c16:uniqueId val="{00000000-747D-2C41-9AEA-EA33719ABB0C}"/>
            </c:ext>
          </c:extLst>
        </c:ser>
        <c:ser>
          <c:idx val="1"/>
          <c:order val="1"/>
          <c:tx>
            <c:v>Psat</c:v>
          </c:tx>
          <c:marker>
            <c:symbol val="none"/>
          </c:marker>
          <c:xVal>
            <c:numRef>
              <c:f>'14.Condensazione'!$AD$173:$AD$180</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'14.Condensazione'!$AB$173:$AB$180</c:f>
              <c:numCache>
                <c:formatCode>0.00</c:formatCode>
                <c:ptCount val="8"/>
                <c:pt idx="0">
                  <c:v>1775.8714128644297</c:v>
                </c:pt>
                <c:pt idx="1">
                  <c:v>1836.3174320335891</c:v>
                </c:pt>
                <c:pt idx="2">
                  <c:v>1906.9957454045259</c:v>
                </c:pt>
                <c:pt idx="3">
                  <c:v>1953.9884414352045</c:v>
                </c:pt>
                <c:pt idx="4">
                  <c:v>2028.6088941164965</c:v>
                </c:pt>
                <c:pt idx="5">
                  <c:v>2251.0733316632354</c:v>
                </c:pt>
                <c:pt idx="6">
                  <c:v>2272.1038029034607</c:v>
                </c:pt>
                <c:pt idx="7">
                  <c:v>2336.9511438023419</c:v>
                </c:pt>
              </c:numCache>
            </c:numRef>
          </c:yVal>
          <c:smooth val="0"/>
          <c:extLst>
            <c:ext xmlns:c16="http://schemas.microsoft.com/office/drawing/2014/chart" uri="{C3380CC4-5D6E-409C-BE32-E72D297353CC}">
              <c16:uniqueId val="{00000001-747D-2C41-9AEA-EA33719ABB0C}"/>
            </c:ext>
          </c:extLst>
        </c:ser>
        <c:dLbls>
          <c:showLegendKey val="0"/>
          <c:showVal val="0"/>
          <c:showCatName val="0"/>
          <c:showSerName val="0"/>
          <c:showPercent val="0"/>
          <c:showBubbleSize val="0"/>
        </c:dLbls>
        <c:axId val="74632576"/>
        <c:axId val="74642560"/>
      </c:scatterChart>
      <c:valAx>
        <c:axId val="74632576"/>
        <c:scaling>
          <c:orientation val="minMax"/>
        </c:scaling>
        <c:delete val="0"/>
        <c:axPos val="b"/>
        <c:numFmt formatCode="General" sourceLinked="1"/>
        <c:majorTickMark val="none"/>
        <c:minorTickMark val="none"/>
        <c:tickLblPos val="nextTo"/>
        <c:crossAx val="74642560"/>
        <c:crosses val="autoZero"/>
        <c:crossBetween val="midCat"/>
      </c:valAx>
      <c:valAx>
        <c:axId val="74642560"/>
        <c:scaling>
          <c:orientation val="minMax"/>
        </c:scaling>
        <c:delete val="0"/>
        <c:axPos val="l"/>
        <c:numFmt formatCode="0" sourceLinked="0"/>
        <c:majorTickMark val="none"/>
        <c:minorTickMark val="none"/>
        <c:tickLblPos val="nextTo"/>
        <c:crossAx val="74632576"/>
        <c:crosses val="autoZero"/>
        <c:crossBetween val="midCat"/>
      </c:valAx>
    </c:plotArea>
    <c:legend>
      <c:legendPos val="r"/>
      <c:overlay val="0"/>
    </c:legend>
    <c:plotVisOnly val="1"/>
    <c:dispBlanksAs val="gap"/>
    <c:showDLblsOverMax val="0"/>
  </c:chart>
  <c:printSettings>
    <c:headerFooter/>
    <c:pageMargins b="0.75000000000000666" l="0.70000000000000095" r="0.70000000000000095" t="0.750000000000006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DICEMBRE</a:t>
            </a:r>
          </a:p>
        </c:rich>
      </c:tx>
      <c:layout>
        <c:manualLayout>
          <c:xMode val="edge"/>
          <c:yMode val="edge"/>
          <c:x val="0.43341824262865475"/>
          <c:y val="2.3616234332549987E-2"/>
        </c:manualLayout>
      </c:layout>
      <c:overlay val="0"/>
    </c:title>
    <c:autoTitleDeleted val="0"/>
    <c:plotArea>
      <c:layout/>
      <c:scatterChart>
        <c:scatterStyle val="lineMarker"/>
        <c:varyColors val="0"/>
        <c:ser>
          <c:idx val="0"/>
          <c:order val="0"/>
          <c:tx>
            <c:v>Pv</c:v>
          </c:tx>
          <c:marker>
            <c:symbol val="none"/>
          </c:marker>
          <c:xVal>
            <c:numRef>
              <c:f>'14.Condensazione'!$AD$189:$AD$196</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'14.Condensazione'!$AC$189:$AC$196</c:f>
              <c:numCache>
                <c:formatCode>0.00</c:formatCode>
                <c:ptCount val="8"/>
                <c:pt idx="0">
                  <c:v>1151</c:v>
                </c:pt>
                <c:pt idx="1">
                  <c:v>1330.9574044665437</c:v>
                </c:pt>
                <c:pt idx="2">
                  <c:v>1333.2068720223754</c:v>
                </c:pt>
                <c:pt idx="3">
                  <c:v>1393.1926735112233</c:v>
                </c:pt>
                <c:pt idx="4">
                  <c:v>1395.4421410670552</c:v>
                </c:pt>
                <c:pt idx="5">
                  <c:v>1776.492545781645</c:v>
                </c:pt>
                <c:pt idx="6">
                  <c:v>1851.474797642705</c:v>
                </c:pt>
                <c:pt idx="7">
                  <c:v>1851.474797642705</c:v>
                </c:pt>
              </c:numCache>
            </c:numRef>
          </c:yVal>
          <c:smooth val="0"/>
          <c:extLst>
            <c:ext xmlns:c16="http://schemas.microsoft.com/office/drawing/2014/chart" uri="{C3380CC4-5D6E-409C-BE32-E72D297353CC}">
              <c16:uniqueId val="{00000000-1161-D844-ADB8-E7319C2BAE22}"/>
            </c:ext>
          </c:extLst>
        </c:ser>
        <c:ser>
          <c:idx val="1"/>
          <c:order val="1"/>
          <c:tx>
            <c:v>Psat</c:v>
          </c:tx>
          <c:marker>
            <c:symbol val="none"/>
          </c:marker>
          <c:xVal>
            <c:numRef>
              <c:f>'14.Condensazione'!$AD$189:$AD$196</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'14.Condensazione'!$AB$189:$AB$196</c:f>
              <c:numCache>
                <c:formatCode>0.00</c:formatCode>
                <c:ptCount val="8"/>
                <c:pt idx="0">
                  <c:v>1397.8891315149981</c:v>
                </c:pt>
                <c:pt idx="1">
                  <c:v>1489.4720559899456</c:v>
                </c:pt>
                <c:pt idx="2">
                  <c:v>1599.5968279114443</c:v>
                </c:pt>
                <c:pt idx="3">
                  <c:v>1674.6029218691899</c:v>
                </c:pt>
                <c:pt idx="4">
                  <c:v>1796.5915312624768</c:v>
                </c:pt>
                <c:pt idx="5">
                  <c:v>2180.7171134060127</c:v>
                </c:pt>
                <c:pt idx="6">
                  <c:v>2218.5751124717344</c:v>
                </c:pt>
                <c:pt idx="7">
                  <c:v>2336.9511438023419</c:v>
                </c:pt>
              </c:numCache>
            </c:numRef>
          </c:yVal>
          <c:smooth val="0"/>
          <c:extLst>
            <c:ext xmlns:c16="http://schemas.microsoft.com/office/drawing/2014/chart" uri="{C3380CC4-5D6E-409C-BE32-E72D297353CC}">
              <c16:uniqueId val="{00000001-1161-D844-ADB8-E7319C2BAE22}"/>
            </c:ext>
          </c:extLst>
        </c:ser>
        <c:dLbls>
          <c:showLegendKey val="0"/>
          <c:showVal val="0"/>
          <c:showCatName val="0"/>
          <c:showSerName val="0"/>
          <c:showPercent val="0"/>
          <c:showBubbleSize val="0"/>
        </c:dLbls>
        <c:axId val="74782208"/>
        <c:axId val="74783744"/>
      </c:scatterChart>
      <c:valAx>
        <c:axId val="74782208"/>
        <c:scaling>
          <c:orientation val="minMax"/>
        </c:scaling>
        <c:delete val="0"/>
        <c:axPos val="b"/>
        <c:numFmt formatCode="General" sourceLinked="1"/>
        <c:majorTickMark val="none"/>
        <c:minorTickMark val="none"/>
        <c:tickLblPos val="nextTo"/>
        <c:crossAx val="74783744"/>
        <c:crosses val="autoZero"/>
        <c:crossBetween val="midCat"/>
      </c:valAx>
      <c:valAx>
        <c:axId val="74783744"/>
        <c:scaling>
          <c:orientation val="minMax"/>
        </c:scaling>
        <c:delete val="0"/>
        <c:axPos val="l"/>
        <c:numFmt formatCode="0" sourceLinked="0"/>
        <c:majorTickMark val="none"/>
        <c:minorTickMark val="none"/>
        <c:tickLblPos val="nextTo"/>
        <c:crossAx val="74782208"/>
        <c:crosses val="autoZero"/>
        <c:crossBetween val="midCat"/>
      </c:valAx>
    </c:plotArea>
    <c:legend>
      <c:legendPos val="r"/>
      <c:overlay val="0"/>
    </c:legend>
    <c:plotVisOnly val="1"/>
    <c:dispBlanksAs val="gap"/>
    <c:showDLblsOverMax val="0"/>
  </c:chart>
  <c:printSettings>
    <c:headerFooter/>
    <c:pageMargins b="0.75000000000000666" l="0.70000000000000095" r="0.70000000000000095" t="0.750000000000006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FEBBRAIO</a:t>
            </a:r>
          </a:p>
        </c:rich>
      </c:tx>
      <c:overlay val="0"/>
    </c:title>
    <c:autoTitleDeleted val="0"/>
    <c:plotArea>
      <c:layout/>
      <c:scatterChart>
        <c:scatterStyle val="lineMarker"/>
        <c:varyColors val="0"/>
        <c:ser>
          <c:idx val="0"/>
          <c:order val="0"/>
          <c:tx>
            <c:v>Pv</c:v>
          </c:tx>
          <c:marker>
            <c:symbol val="none"/>
          </c:marker>
          <c:xVal>
            <c:numRef>
              <c:f>'14.Condensazione'!$O$80:$O$87</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'14.Condensazione'!$N$80:$N$87</c:f>
              <c:numCache>
                <c:formatCode>0.00</c:formatCode>
                <c:ptCount val="8"/>
                <c:pt idx="0">
                  <c:v>923</c:v>
                </c:pt>
                <c:pt idx="1">
                  <c:v>1042.9716029776957</c:v>
                </c:pt>
                <c:pt idx="2">
                  <c:v>1044.4712480149169</c:v>
                </c:pt>
                <c:pt idx="3">
                  <c:v>1084.4617823408155</c:v>
                </c:pt>
                <c:pt idx="4">
                  <c:v>1085.9614273780367</c:v>
                </c:pt>
                <c:pt idx="5">
                  <c:v>1467.0118320926267</c:v>
                </c:pt>
                <c:pt idx="6">
                  <c:v>1517</c:v>
                </c:pt>
                <c:pt idx="7">
                  <c:v>1517</c:v>
                </c:pt>
              </c:numCache>
            </c:numRef>
          </c:yVal>
          <c:smooth val="0"/>
          <c:extLst>
            <c:ext xmlns:c16="http://schemas.microsoft.com/office/drawing/2014/chart" uri="{C3380CC4-5D6E-409C-BE32-E72D297353CC}">
              <c16:uniqueId val="{00000000-D96C-2C4E-B650-FC79D268F081}"/>
            </c:ext>
          </c:extLst>
        </c:ser>
        <c:ser>
          <c:idx val="1"/>
          <c:order val="1"/>
          <c:tx>
            <c:v>Psat</c:v>
          </c:tx>
          <c:marker>
            <c:symbol val="none"/>
          </c:marker>
          <c:xVal>
            <c:numRef>
              <c:f>'14.Condensazione'!$O$80:$O$87</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'14.Condensazione'!$M$80:$M$87</c:f>
              <c:numCache>
                <c:formatCode>0.00</c:formatCode>
                <c:ptCount val="8"/>
                <c:pt idx="0">
                  <c:v>1315.5886436463795</c:v>
                </c:pt>
                <c:pt idx="1">
                  <c:v>1396.6970959058126</c:v>
                </c:pt>
                <c:pt idx="2">
                  <c:v>1493.9009554619161</c:v>
                </c:pt>
                <c:pt idx="3">
                  <c:v>1559.9170094862172</c:v>
                </c:pt>
                <c:pt idx="4">
                  <c:v>1666.9798207177698</c:v>
                </c:pt>
                <c:pt idx="5">
                  <c:v>2190.4929621072588</c:v>
                </c:pt>
                <c:pt idx="6">
                  <c:v>2226.0350969476708</c:v>
                </c:pt>
                <c:pt idx="7">
                  <c:v>2336.9511438023419</c:v>
                </c:pt>
              </c:numCache>
            </c:numRef>
          </c:yVal>
          <c:smooth val="0"/>
          <c:extLst>
            <c:ext xmlns:c16="http://schemas.microsoft.com/office/drawing/2014/chart" uri="{C3380CC4-5D6E-409C-BE32-E72D297353CC}">
              <c16:uniqueId val="{00000001-D96C-2C4E-B650-FC79D268F081}"/>
            </c:ext>
          </c:extLst>
        </c:ser>
        <c:dLbls>
          <c:showLegendKey val="0"/>
          <c:showVal val="0"/>
          <c:showCatName val="0"/>
          <c:showSerName val="0"/>
          <c:showPercent val="0"/>
          <c:showBubbleSize val="0"/>
        </c:dLbls>
        <c:axId val="74245632"/>
        <c:axId val="74247168"/>
      </c:scatterChart>
      <c:valAx>
        <c:axId val="74245632"/>
        <c:scaling>
          <c:orientation val="minMax"/>
        </c:scaling>
        <c:delete val="0"/>
        <c:axPos val="b"/>
        <c:numFmt formatCode="General" sourceLinked="1"/>
        <c:majorTickMark val="none"/>
        <c:minorTickMark val="none"/>
        <c:tickLblPos val="nextTo"/>
        <c:crossAx val="74247168"/>
        <c:crosses val="autoZero"/>
        <c:crossBetween val="midCat"/>
      </c:valAx>
      <c:valAx>
        <c:axId val="74247168"/>
        <c:scaling>
          <c:orientation val="minMax"/>
        </c:scaling>
        <c:delete val="0"/>
        <c:axPos val="l"/>
        <c:numFmt formatCode="0" sourceLinked="0"/>
        <c:majorTickMark val="none"/>
        <c:minorTickMark val="none"/>
        <c:tickLblPos val="nextTo"/>
        <c:crossAx val="74245632"/>
        <c:crosses val="autoZero"/>
        <c:crossBetween val="midCat"/>
      </c:valAx>
    </c:plotArea>
    <c:legend>
      <c:legendPos val="r"/>
      <c:overlay val="0"/>
    </c:legend>
    <c:plotVisOnly val="1"/>
    <c:dispBlanksAs val="gap"/>
    <c:showDLblsOverMax val="0"/>
  </c:chart>
  <c:printSettings>
    <c:headerFooter/>
    <c:pageMargins b="0.75000000000000466" l="0.70000000000000095" r="0.70000000000000095" t="0.750000000000004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MARZO</a:t>
            </a:r>
          </a:p>
        </c:rich>
      </c:tx>
      <c:overlay val="0"/>
    </c:title>
    <c:autoTitleDeleted val="0"/>
    <c:plotArea>
      <c:layout/>
      <c:scatterChart>
        <c:scatterStyle val="lineMarker"/>
        <c:varyColors val="0"/>
        <c:ser>
          <c:idx val="0"/>
          <c:order val="0"/>
          <c:tx>
            <c:v>Pv</c:v>
          </c:tx>
          <c:marker>
            <c:symbol val="none"/>
          </c:marker>
          <c:xVal>
            <c:numRef>
              <c:f>'14.Condensazione'!$O$118:$O$125</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'14.Condensazione'!$N$118:$N$125</c:f>
              <c:numCache>
                <c:formatCode>0.00</c:formatCode>
                <c:ptCount val="8"/>
                <c:pt idx="0">
                  <c:v>1011</c:v>
                </c:pt>
                <c:pt idx="1">
                  <c:v>1130.9716029776957</c:v>
                </c:pt>
                <c:pt idx="2">
                  <c:v>1132.4712480149169</c:v>
                </c:pt>
                <c:pt idx="3">
                  <c:v>1172.4617823408155</c:v>
                </c:pt>
                <c:pt idx="4">
                  <c:v>1173.9614273780367</c:v>
                </c:pt>
                <c:pt idx="5">
                  <c:v>1555.0118320926267</c:v>
                </c:pt>
                <c:pt idx="6">
                  <c:v>1605</c:v>
                </c:pt>
                <c:pt idx="7">
                  <c:v>1605</c:v>
                </c:pt>
              </c:numCache>
            </c:numRef>
          </c:yVal>
          <c:smooth val="0"/>
          <c:extLst>
            <c:ext xmlns:c16="http://schemas.microsoft.com/office/drawing/2014/chart" uri="{C3380CC4-5D6E-409C-BE32-E72D297353CC}">
              <c16:uniqueId val="{00000000-677F-C049-A881-68B71984A9D7}"/>
            </c:ext>
          </c:extLst>
        </c:ser>
        <c:ser>
          <c:idx val="1"/>
          <c:order val="1"/>
          <c:tx>
            <c:v>Psat</c:v>
          </c:tx>
          <c:marker>
            <c:symbol val="none"/>
          </c:marker>
          <c:xVal>
            <c:numRef>
              <c:f>'14.Condensazione'!$O$118:$O$125</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'14.Condensazione'!$M$118:$M$125</c:f>
              <c:numCache>
                <c:formatCode>0.00</c:formatCode>
                <c:ptCount val="8"/>
                <c:pt idx="0">
                  <c:v>1495.8404071457205</c:v>
                </c:pt>
                <c:pt idx="1">
                  <c:v>1566.462847786818</c:v>
                </c:pt>
                <c:pt idx="2">
                  <c:v>1650.0237686878438</c:v>
                </c:pt>
                <c:pt idx="3">
                  <c:v>1706.1530019751485</c:v>
                </c:pt>
                <c:pt idx="4">
                  <c:v>1796.1925589816551</c:v>
                </c:pt>
                <c:pt idx="5">
                  <c:v>2221.6296483267843</c:v>
                </c:pt>
                <c:pt idx="6">
                  <c:v>2249.7473935472485</c:v>
                </c:pt>
                <c:pt idx="7">
                  <c:v>2336.9511438023419</c:v>
                </c:pt>
              </c:numCache>
            </c:numRef>
          </c:yVal>
          <c:smooth val="0"/>
          <c:extLst>
            <c:ext xmlns:c16="http://schemas.microsoft.com/office/drawing/2014/chart" uri="{C3380CC4-5D6E-409C-BE32-E72D297353CC}">
              <c16:uniqueId val="{00000001-677F-C049-A881-68B71984A9D7}"/>
            </c:ext>
          </c:extLst>
        </c:ser>
        <c:dLbls>
          <c:showLegendKey val="0"/>
          <c:showVal val="0"/>
          <c:showCatName val="0"/>
          <c:showSerName val="0"/>
          <c:showPercent val="0"/>
          <c:showBubbleSize val="0"/>
        </c:dLbls>
        <c:axId val="74272128"/>
        <c:axId val="74286208"/>
      </c:scatterChart>
      <c:valAx>
        <c:axId val="74272128"/>
        <c:scaling>
          <c:orientation val="minMax"/>
        </c:scaling>
        <c:delete val="0"/>
        <c:axPos val="b"/>
        <c:numFmt formatCode="General" sourceLinked="1"/>
        <c:majorTickMark val="none"/>
        <c:minorTickMark val="none"/>
        <c:tickLblPos val="nextTo"/>
        <c:crossAx val="74286208"/>
        <c:crosses val="autoZero"/>
        <c:crossBetween val="midCat"/>
      </c:valAx>
      <c:valAx>
        <c:axId val="74286208"/>
        <c:scaling>
          <c:orientation val="minMax"/>
        </c:scaling>
        <c:delete val="0"/>
        <c:axPos val="l"/>
        <c:numFmt formatCode="0" sourceLinked="0"/>
        <c:majorTickMark val="none"/>
        <c:minorTickMark val="none"/>
        <c:tickLblPos val="nextTo"/>
        <c:crossAx val="74272128"/>
        <c:crosses val="autoZero"/>
        <c:crossBetween val="midCat"/>
      </c:valAx>
    </c:plotArea>
    <c:legend>
      <c:legendPos val="r"/>
      <c:overlay val="0"/>
    </c:legend>
    <c:plotVisOnly val="1"/>
    <c:dispBlanksAs val="gap"/>
    <c:showDLblsOverMax val="0"/>
  </c:chart>
  <c:printSettings>
    <c:headerFooter/>
    <c:pageMargins b="0.75000000000000566" l="0.70000000000000095" r="0.70000000000000095" t="0.750000000000005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APRILE</a:t>
            </a:r>
          </a:p>
        </c:rich>
      </c:tx>
      <c:overlay val="0"/>
    </c:title>
    <c:autoTitleDeleted val="0"/>
    <c:plotArea>
      <c:layout/>
      <c:scatterChart>
        <c:scatterStyle val="lineMarker"/>
        <c:varyColors val="0"/>
        <c:ser>
          <c:idx val="0"/>
          <c:order val="0"/>
          <c:tx>
            <c:v>Pv</c:v>
          </c:tx>
          <c:marker>
            <c:symbol val="none"/>
          </c:marker>
          <c:xVal>
            <c:numRef>
              <c:f>'14.Condensazione'!$O$134:$O$141</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'14.Condensazione'!$N$134:$N$141</c:f>
              <c:numCache>
                <c:formatCode>0.00</c:formatCode>
                <c:ptCount val="8"/>
                <c:pt idx="0">
                  <c:v>1180</c:v>
                </c:pt>
                <c:pt idx="1">
                  <c:v>1299.9716029776957</c:v>
                </c:pt>
                <c:pt idx="2">
                  <c:v>1301.4712480149169</c:v>
                </c:pt>
                <c:pt idx="3">
                  <c:v>1341.4617823408155</c:v>
                </c:pt>
                <c:pt idx="4">
                  <c:v>1342.9614273780367</c:v>
                </c:pt>
                <c:pt idx="5">
                  <c:v>1724.0118320926267</c:v>
                </c:pt>
                <c:pt idx="6">
                  <c:v>1774</c:v>
                </c:pt>
                <c:pt idx="7">
                  <c:v>1774</c:v>
                </c:pt>
              </c:numCache>
            </c:numRef>
          </c:yVal>
          <c:smooth val="0"/>
          <c:extLst>
            <c:ext xmlns:c16="http://schemas.microsoft.com/office/drawing/2014/chart" uri="{C3380CC4-5D6E-409C-BE32-E72D297353CC}">
              <c16:uniqueId val="{00000000-8634-084B-B6C4-9FDD6ED3C2B5}"/>
            </c:ext>
          </c:extLst>
        </c:ser>
        <c:ser>
          <c:idx val="1"/>
          <c:order val="1"/>
          <c:tx>
            <c:v>Psat</c:v>
          </c:tx>
          <c:marker>
            <c:symbol val="none"/>
          </c:marker>
          <c:xVal>
            <c:numRef>
              <c:f>'14.Condensazione'!$O$134:$O$141</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'14.Condensazione'!$M$134:$M$141</c:f>
              <c:numCache>
                <c:formatCode>0.00</c:formatCode>
                <c:ptCount val="8"/>
                <c:pt idx="0">
                  <c:v>1729.6243407273373</c:v>
                </c:pt>
                <c:pt idx="1">
                  <c:v>1783.8490964056016</c:v>
                </c:pt>
                <c:pt idx="2">
                  <c:v>1847.1000520960074</c:v>
                </c:pt>
                <c:pt idx="3">
                  <c:v>1889.0665951929575</c:v>
                </c:pt>
                <c:pt idx="4">
                  <c:v>1955.5674229554422</c:v>
                </c:pt>
                <c:pt idx="5">
                  <c:v>2257.9149006879866</c:v>
                </c:pt>
                <c:pt idx="6">
                  <c:v>2277.2894225842274</c:v>
                </c:pt>
                <c:pt idx="7">
                  <c:v>2336.9511438023419</c:v>
                </c:pt>
              </c:numCache>
            </c:numRef>
          </c:yVal>
          <c:smooth val="0"/>
          <c:extLst>
            <c:ext xmlns:c16="http://schemas.microsoft.com/office/drawing/2014/chart" uri="{C3380CC4-5D6E-409C-BE32-E72D297353CC}">
              <c16:uniqueId val="{00000001-8634-084B-B6C4-9FDD6ED3C2B5}"/>
            </c:ext>
          </c:extLst>
        </c:ser>
        <c:dLbls>
          <c:showLegendKey val="0"/>
          <c:showVal val="0"/>
          <c:showCatName val="0"/>
          <c:showSerName val="0"/>
          <c:showPercent val="0"/>
          <c:showBubbleSize val="0"/>
        </c:dLbls>
        <c:axId val="74302976"/>
        <c:axId val="74304512"/>
      </c:scatterChart>
      <c:valAx>
        <c:axId val="74302976"/>
        <c:scaling>
          <c:orientation val="minMax"/>
        </c:scaling>
        <c:delete val="0"/>
        <c:axPos val="b"/>
        <c:numFmt formatCode="General" sourceLinked="1"/>
        <c:majorTickMark val="none"/>
        <c:minorTickMark val="none"/>
        <c:tickLblPos val="nextTo"/>
        <c:crossAx val="74304512"/>
        <c:crosses val="autoZero"/>
        <c:crossBetween val="midCat"/>
      </c:valAx>
      <c:valAx>
        <c:axId val="74304512"/>
        <c:scaling>
          <c:orientation val="minMax"/>
        </c:scaling>
        <c:delete val="0"/>
        <c:axPos val="l"/>
        <c:numFmt formatCode="0" sourceLinked="0"/>
        <c:majorTickMark val="none"/>
        <c:minorTickMark val="none"/>
        <c:tickLblPos val="nextTo"/>
        <c:crossAx val="74302976"/>
        <c:crosses val="autoZero"/>
        <c:crossBetween val="midCat"/>
      </c:valAx>
    </c:plotArea>
    <c:legend>
      <c:legendPos val="r"/>
      <c:overlay val="0"/>
    </c:legend>
    <c:plotVisOnly val="1"/>
    <c:dispBlanksAs val="gap"/>
    <c:showDLblsOverMax val="0"/>
  </c:chart>
  <c:printSettings>
    <c:headerFooter/>
    <c:pageMargins b="0.75000000000000566" l="0.70000000000000095" r="0.70000000000000095" t="0.750000000000005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NOVEMBRE</a:t>
            </a:r>
          </a:p>
        </c:rich>
      </c:tx>
      <c:overlay val="0"/>
    </c:title>
    <c:autoTitleDeleted val="0"/>
    <c:plotArea>
      <c:layout/>
      <c:scatterChart>
        <c:scatterStyle val="lineMarker"/>
        <c:varyColors val="0"/>
        <c:ser>
          <c:idx val="0"/>
          <c:order val="0"/>
          <c:tx>
            <c:v>Pv</c:v>
          </c:tx>
          <c:marker>
            <c:symbol val="none"/>
          </c:marker>
          <c:xVal>
            <c:numRef>
              <c:f>'14.Condensazione'!$O$173:$O$180</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'14.Condensazione'!$N$173:$N$180</c:f>
              <c:numCache>
                <c:formatCode>0.00</c:formatCode>
                <c:ptCount val="8"/>
                <c:pt idx="0">
                  <c:v>1259</c:v>
                </c:pt>
                <c:pt idx="1">
                  <c:v>1378.9716029776957</c:v>
                </c:pt>
                <c:pt idx="2">
                  <c:v>1380.4712480149169</c:v>
                </c:pt>
                <c:pt idx="3">
                  <c:v>1420.4617823408155</c:v>
                </c:pt>
                <c:pt idx="4">
                  <c:v>1421.9614273780367</c:v>
                </c:pt>
                <c:pt idx="5">
                  <c:v>1803.0118320926267</c:v>
                </c:pt>
                <c:pt idx="6">
                  <c:v>1853</c:v>
                </c:pt>
                <c:pt idx="7">
                  <c:v>1853</c:v>
                </c:pt>
              </c:numCache>
            </c:numRef>
          </c:yVal>
          <c:smooth val="0"/>
          <c:extLst>
            <c:ext xmlns:c16="http://schemas.microsoft.com/office/drawing/2014/chart" uri="{C3380CC4-5D6E-409C-BE32-E72D297353CC}">
              <c16:uniqueId val="{00000000-5FBE-6845-850E-451E48CA0E7A}"/>
            </c:ext>
          </c:extLst>
        </c:ser>
        <c:ser>
          <c:idx val="1"/>
          <c:order val="1"/>
          <c:tx>
            <c:v>Psat</c:v>
          </c:tx>
          <c:marker>
            <c:symbol val="none"/>
          </c:marker>
          <c:xVal>
            <c:numRef>
              <c:f>'14.Condensazione'!$O$173:$O$180</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'14.Condensazione'!$M$173:$M$180</c:f>
              <c:numCache>
                <c:formatCode>0.00</c:formatCode>
                <c:ptCount val="8"/>
                <c:pt idx="0">
                  <c:v>1773.3965460329898</c:v>
                </c:pt>
                <c:pt idx="1">
                  <c:v>1824.2394095987884</c:v>
                </c:pt>
                <c:pt idx="2">
                  <c:v>1883.4015712618884</c:v>
                </c:pt>
                <c:pt idx="3">
                  <c:v>1922.5726477194255</c:v>
                </c:pt>
                <c:pt idx="4">
                  <c:v>1984.5137102510676</c:v>
                </c:pt>
                <c:pt idx="5">
                  <c:v>2264.2780127002679</c:v>
                </c:pt>
                <c:pt idx="6">
                  <c:v>2282.1093237602695</c:v>
                </c:pt>
                <c:pt idx="7">
                  <c:v>2336.9511438023419</c:v>
                </c:pt>
              </c:numCache>
            </c:numRef>
          </c:yVal>
          <c:smooth val="0"/>
          <c:extLst>
            <c:ext xmlns:c16="http://schemas.microsoft.com/office/drawing/2014/chart" uri="{C3380CC4-5D6E-409C-BE32-E72D297353CC}">
              <c16:uniqueId val="{00000001-5FBE-6845-850E-451E48CA0E7A}"/>
            </c:ext>
          </c:extLst>
        </c:ser>
        <c:dLbls>
          <c:showLegendKey val="0"/>
          <c:showVal val="0"/>
          <c:showCatName val="0"/>
          <c:showSerName val="0"/>
          <c:showPercent val="0"/>
          <c:showBubbleSize val="0"/>
        </c:dLbls>
        <c:axId val="74468736"/>
        <c:axId val="74482816"/>
      </c:scatterChart>
      <c:valAx>
        <c:axId val="74468736"/>
        <c:scaling>
          <c:orientation val="minMax"/>
        </c:scaling>
        <c:delete val="0"/>
        <c:axPos val="b"/>
        <c:numFmt formatCode="General" sourceLinked="1"/>
        <c:majorTickMark val="none"/>
        <c:minorTickMark val="none"/>
        <c:tickLblPos val="nextTo"/>
        <c:crossAx val="74482816"/>
        <c:crosses val="autoZero"/>
        <c:crossBetween val="midCat"/>
      </c:valAx>
      <c:valAx>
        <c:axId val="74482816"/>
        <c:scaling>
          <c:orientation val="minMax"/>
        </c:scaling>
        <c:delete val="0"/>
        <c:axPos val="l"/>
        <c:numFmt formatCode="0" sourceLinked="0"/>
        <c:majorTickMark val="none"/>
        <c:minorTickMark val="none"/>
        <c:tickLblPos val="nextTo"/>
        <c:crossAx val="74468736"/>
        <c:crosses val="autoZero"/>
        <c:crossBetween val="midCat"/>
      </c:valAx>
    </c:plotArea>
    <c:legend>
      <c:legendPos val="r"/>
      <c:overlay val="0"/>
    </c:legend>
    <c:plotVisOnly val="1"/>
    <c:dispBlanksAs val="gap"/>
    <c:showDLblsOverMax val="0"/>
  </c:chart>
  <c:printSettings>
    <c:headerFooter/>
    <c:pageMargins b="0.75000000000000566" l="0.70000000000000095" r="0.70000000000000095" t="0.750000000000005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DICEMBRE</a:t>
            </a:r>
          </a:p>
        </c:rich>
      </c:tx>
      <c:layout>
        <c:manualLayout>
          <c:xMode val="edge"/>
          <c:yMode val="edge"/>
          <c:x val="0.43341824262865475"/>
          <c:y val="2.3616234332549987E-2"/>
        </c:manualLayout>
      </c:layout>
      <c:overlay val="0"/>
    </c:title>
    <c:autoTitleDeleted val="0"/>
    <c:plotArea>
      <c:layout/>
      <c:scatterChart>
        <c:scatterStyle val="lineMarker"/>
        <c:varyColors val="0"/>
        <c:ser>
          <c:idx val="0"/>
          <c:order val="0"/>
          <c:tx>
            <c:v>Pv</c:v>
          </c:tx>
          <c:marker>
            <c:symbol val="none"/>
          </c:marker>
          <c:xVal>
            <c:numRef>
              <c:f>'14.Condensazione'!$O$189:$O$196</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'14.Condensazione'!$N$189:$N$196</c:f>
              <c:numCache>
                <c:formatCode>0.00</c:formatCode>
                <c:ptCount val="8"/>
                <c:pt idx="0">
                  <c:v>1151</c:v>
                </c:pt>
                <c:pt idx="1">
                  <c:v>1330.9574044665437</c:v>
                </c:pt>
                <c:pt idx="2">
                  <c:v>1333.2068720223754</c:v>
                </c:pt>
                <c:pt idx="3">
                  <c:v>1393.1926735112233</c:v>
                </c:pt>
                <c:pt idx="4">
                  <c:v>1395.4421410670552</c:v>
                </c:pt>
                <c:pt idx="5">
                  <c:v>1967.0177481389401</c:v>
                </c:pt>
                <c:pt idx="6">
                  <c:v>2042</c:v>
                </c:pt>
                <c:pt idx="7">
                  <c:v>2042</c:v>
                </c:pt>
              </c:numCache>
            </c:numRef>
          </c:yVal>
          <c:smooth val="0"/>
          <c:extLst>
            <c:ext xmlns:c16="http://schemas.microsoft.com/office/drawing/2014/chart" uri="{C3380CC4-5D6E-409C-BE32-E72D297353CC}">
              <c16:uniqueId val="{00000000-49BE-C042-9279-219DEC712A65}"/>
            </c:ext>
          </c:extLst>
        </c:ser>
        <c:ser>
          <c:idx val="1"/>
          <c:order val="1"/>
          <c:tx>
            <c:v>Psat</c:v>
          </c:tx>
          <c:marker>
            <c:symbol val="none"/>
          </c:marker>
          <c:xVal>
            <c:numRef>
              <c:f>'14.Condensazione'!$O$189:$O$196</c:f>
              <c:numCache>
                <c:formatCode>0.00</c:formatCode>
                <c:ptCount val="8"/>
                <c:pt idx="0" formatCode="General">
                  <c:v>0</c:v>
                </c:pt>
                <c:pt idx="1">
                  <c:v>0.8</c:v>
                </c:pt>
                <c:pt idx="2">
                  <c:v>0.81</c:v>
                </c:pt>
                <c:pt idx="3">
                  <c:v>1.0766666666666667</c:v>
                </c:pt>
                <c:pt idx="4">
                  <c:v>1.0866666666666667</c:v>
                </c:pt>
                <c:pt idx="5">
                  <c:v>3.6276039902126866</c:v>
                </c:pt>
                <c:pt idx="6">
                  <c:v>3.9609373235460201</c:v>
                </c:pt>
                <c:pt idx="7">
                  <c:v>4.0609373235460202</c:v>
                </c:pt>
              </c:numCache>
            </c:numRef>
          </c:xVal>
          <c:yVal>
            <c:numRef>
              <c:f>'14.Condensazione'!$M$189:$M$196</c:f>
              <c:numCache>
                <c:formatCode>0.00</c:formatCode>
                <c:ptCount val="8"/>
                <c:pt idx="0">
                  <c:v>1394.1910537278063</c:v>
                </c:pt>
                <c:pt idx="1">
                  <c:v>1470.9795226585986</c:v>
                </c:pt>
                <c:pt idx="2">
                  <c:v>1562.4734927281872</c:v>
                </c:pt>
                <c:pt idx="3">
                  <c:v>1624.3025289123204</c:v>
                </c:pt>
                <c:pt idx="4">
                  <c:v>1724.0800126163883</c:v>
                </c:pt>
                <c:pt idx="5">
                  <c:v>2204.456899108759</c:v>
                </c:pt>
                <c:pt idx="6">
                  <c:v>2236.6784352767836</c:v>
                </c:pt>
                <c:pt idx="7">
                  <c:v>2336.9511438023419</c:v>
                </c:pt>
              </c:numCache>
            </c:numRef>
          </c:yVal>
          <c:smooth val="0"/>
          <c:extLst>
            <c:ext xmlns:c16="http://schemas.microsoft.com/office/drawing/2014/chart" uri="{C3380CC4-5D6E-409C-BE32-E72D297353CC}">
              <c16:uniqueId val="{00000001-49BE-C042-9279-219DEC712A65}"/>
            </c:ext>
          </c:extLst>
        </c:ser>
        <c:dLbls>
          <c:showLegendKey val="0"/>
          <c:showVal val="0"/>
          <c:showCatName val="0"/>
          <c:showSerName val="0"/>
          <c:showPercent val="0"/>
          <c:showBubbleSize val="0"/>
        </c:dLbls>
        <c:axId val="74520064"/>
        <c:axId val="74521600"/>
      </c:scatterChart>
      <c:valAx>
        <c:axId val="74520064"/>
        <c:scaling>
          <c:orientation val="minMax"/>
        </c:scaling>
        <c:delete val="0"/>
        <c:axPos val="b"/>
        <c:numFmt formatCode="General" sourceLinked="1"/>
        <c:majorTickMark val="none"/>
        <c:minorTickMark val="none"/>
        <c:tickLblPos val="nextTo"/>
        <c:crossAx val="74521600"/>
        <c:crosses val="autoZero"/>
        <c:crossBetween val="midCat"/>
      </c:valAx>
      <c:valAx>
        <c:axId val="74521600"/>
        <c:scaling>
          <c:orientation val="minMax"/>
        </c:scaling>
        <c:delete val="0"/>
        <c:axPos val="l"/>
        <c:numFmt formatCode="0" sourceLinked="0"/>
        <c:majorTickMark val="none"/>
        <c:minorTickMark val="none"/>
        <c:tickLblPos val="nextTo"/>
        <c:crossAx val="74520064"/>
        <c:crosses val="autoZero"/>
        <c:crossBetween val="midCat"/>
      </c:valAx>
    </c:plotArea>
    <c:legend>
      <c:legendPos val="r"/>
      <c:overlay val="0"/>
    </c:legend>
    <c:plotVisOnly val="1"/>
    <c:dispBlanksAs val="gap"/>
    <c:showDLblsOverMax val="0"/>
  </c:chart>
  <c:printSettings>
    <c:headerFooter/>
    <c:pageMargins b="0.75000000000000666" l="0.70000000000000095" r="0.70000000000000095" t="0.750000000000006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GENNAIO</a:t>
            </a:r>
          </a:p>
        </c:rich>
      </c:tx>
      <c:overlay val="0"/>
    </c:title>
    <c:autoTitleDeleted val="0"/>
    <c:plotArea>
      <c:layout/>
      <c:scatterChart>
        <c:scatterStyle val="lineMarker"/>
        <c:varyColors val="0"/>
        <c:ser>
          <c:idx val="0"/>
          <c:order val="0"/>
          <c:tx>
            <c:v>Pv</c:v>
          </c:tx>
          <c:marker>
            <c:symbol val="none"/>
          </c:marker>
          <c:xVal>
            <c:numRef>
              <c:f>'14.Condensazione'!$AD$64:$AD$71</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'14.Condensazione'!$AC$64:$AC$71</c:f>
              <c:numCache>
                <c:formatCode>0.00</c:formatCode>
                <c:ptCount val="8"/>
                <c:pt idx="0">
                  <c:v>973</c:v>
                </c:pt>
                <c:pt idx="1">
                  <c:v>1152.9574044665437</c:v>
                </c:pt>
                <c:pt idx="2">
                  <c:v>1155.2068720223754</c:v>
                </c:pt>
                <c:pt idx="3">
                  <c:v>1215.1926735112233</c:v>
                </c:pt>
                <c:pt idx="4">
                  <c:v>1217.4421410670552</c:v>
                </c:pt>
                <c:pt idx="5">
                  <c:v>1598.492545781645</c:v>
                </c:pt>
                <c:pt idx="6">
                  <c:v>1673.474797642705</c:v>
                </c:pt>
                <c:pt idx="7">
                  <c:v>1673.474797642705</c:v>
                </c:pt>
              </c:numCache>
            </c:numRef>
          </c:yVal>
          <c:smooth val="0"/>
          <c:extLst>
            <c:ext xmlns:c16="http://schemas.microsoft.com/office/drawing/2014/chart" uri="{C3380CC4-5D6E-409C-BE32-E72D297353CC}">
              <c16:uniqueId val="{00000000-D5A4-B041-80FC-A3FC1A45C613}"/>
            </c:ext>
          </c:extLst>
        </c:ser>
        <c:ser>
          <c:idx val="1"/>
          <c:order val="1"/>
          <c:tx>
            <c:v>Psat</c:v>
          </c:tx>
          <c:marker>
            <c:symbol val="none"/>
          </c:marker>
          <c:xVal>
            <c:numRef>
              <c:f>'14.Condensazione'!$AD$64:$AD$71</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'14.Condensazione'!$AB$64:$AB$71</c:f>
              <c:numCache>
                <c:formatCode>0.00</c:formatCode>
                <c:ptCount val="8"/>
                <c:pt idx="0">
                  <c:v>1277.6184430219269</c:v>
                </c:pt>
                <c:pt idx="1">
                  <c:v>1377.0220370475683</c:v>
                </c:pt>
                <c:pt idx="2">
                  <c:v>1497.8366981966835</c:v>
                </c:pt>
                <c:pt idx="3">
                  <c:v>1580.8806891900899</c:v>
                </c:pt>
                <c:pt idx="4">
                  <c:v>1717.1725290795284</c:v>
                </c:pt>
                <c:pt idx="5">
                  <c:v>2155.2857221066188</c:v>
                </c:pt>
                <c:pt idx="6">
                  <c:v>2199.1339797233404</c:v>
                </c:pt>
                <c:pt idx="7">
                  <c:v>2336.9511438023419</c:v>
                </c:pt>
              </c:numCache>
            </c:numRef>
          </c:yVal>
          <c:smooth val="0"/>
          <c:extLst>
            <c:ext xmlns:c16="http://schemas.microsoft.com/office/drawing/2014/chart" uri="{C3380CC4-5D6E-409C-BE32-E72D297353CC}">
              <c16:uniqueId val="{00000001-D5A4-B041-80FC-A3FC1A45C613}"/>
            </c:ext>
          </c:extLst>
        </c:ser>
        <c:dLbls>
          <c:showLegendKey val="0"/>
          <c:showVal val="0"/>
          <c:showCatName val="0"/>
          <c:showSerName val="0"/>
          <c:showPercent val="0"/>
          <c:showBubbleSize val="0"/>
        </c:dLbls>
        <c:axId val="74550656"/>
        <c:axId val="74564736"/>
      </c:scatterChart>
      <c:valAx>
        <c:axId val="74550656"/>
        <c:scaling>
          <c:orientation val="minMax"/>
        </c:scaling>
        <c:delete val="0"/>
        <c:axPos val="b"/>
        <c:numFmt formatCode="General" sourceLinked="1"/>
        <c:majorTickMark val="none"/>
        <c:minorTickMark val="none"/>
        <c:tickLblPos val="nextTo"/>
        <c:crossAx val="74564736"/>
        <c:crosses val="autoZero"/>
        <c:crossBetween val="midCat"/>
      </c:valAx>
      <c:valAx>
        <c:axId val="74564736"/>
        <c:scaling>
          <c:orientation val="minMax"/>
        </c:scaling>
        <c:delete val="0"/>
        <c:axPos val="l"/>
        <c:numFmt formatCode="0.00" sourceLinked="1"/>
        <c:majorTickMark val="none"/>
        <c:minorTickMark val="none"/>
        <c:tickLblPos val="nextTo"/>
        <c:crossAx val="74550656"/>
        <c:crosses val="autoZero"/>
        <c:crossBetween val="midCat"/>
      </c:valAx>
    </c:plotArea>
    <c:legend>
      <c:legendPos val="r"/>
      <c:overlay val="0"/>
    </c:legend>
    <c:plotVisOnly val="1"/>
    <c:dispBlanksAs val="gap"/>
    <c:showDLblsOverMax val="0"/>
  </c:chart>
  <c:printSettings>
    <c:headerFooter/>
    <c:pageMargins b="0.75000000000000466" l="0.70000000000000095" r="0.70000000000000095" t="0.750000000000004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FEBBRAIO</a:t>
            </a:r>
          </a:p>
        </c:rich>
      </c:tx>
      <c:overlay val="0"/>
    </c:title>
    <c:autoTitleDeleted val="0"/>
    <c:plotArea>
      <c:layout/>
      <c:scatterChart>
        <c:scatterStyle val="lineMarker"/>
        <c:varyColors val="0"/>
        <c:ser>
          <c:idx val="0"/>
          <c:order val="0"/>
          <c:tx>
            <c:v>Pv</c:v>
          </c:tx>
          <c:marker>
            <c:symbol val="none"/>
          </c:marker>
          <c:xVal>
            <c:numRef>
              <c:f>'14.Condensazione'!$AD$80:$AD$87</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'14.Condensazione'!$AC$80:$AC$87</c:f>
              <c:numCache>
                <c:formatCode>0.00</c:formatCode>
                <c:ptCount val="8"/>
                <c:pt idx="0">
                  <c:v>923</c:v>
                </c:pt>
                <c:pt idx="1">
                  <c:v>1042.9716029776957</c:v>
                </c:pt>
                <c:pt idx="2">
                  <c:v>1044.4712480149169</c:v>
                </c:pt>
                <c:pt idx="3">
                  <c:v>1084.4617823408155</c:v>
                </c:pt>
                <c:pt idx="4">
                  <c:v>1085.9614273780367</c:v>
                </c:pt>
                <c:pt idx="5">
                  <c:v>1339.9950305210966</c:v>
                </c:pt>
                <c:pt idx="6">
                  <c:v>1389.9831984284699</c:v>
                </c:pt>
                <c:pt idx="7">
                  <c:v>1389.9831984284699</c:v>
                </c:pt>
              </c:numCache>
            </c:numRef>
          </c:yVal>
          <c:smooth val="0"/>
          <c:extLst>
            <c:ext xmlns:c16="http://schemas.microsoft.com/office/drawing/2014/chart" uri="{C3380CC4-5D6E-409C-BE32-E72D297353CC}">
              <c16:uniqueId val="{00000000-B0B5-5045-876F-5DD335EC1DDA}"/>
            </c:ext>
          </c:extLst>
        </c:ser>
        <c:ser>
          <c:idx val="1"/>
          <c:order val="1"/>
          <c:tx>
            <c:v>Psat</c:v>
          </c:tx>
          <c:marker>
            <c:symbol val="none"/>
          </c:marker>
          <c:xVal>
            <c:numRef>
              <c:f>'14.Condensazione'!$AD$80:$AD$87</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'14.Condensazione'!$AB$80:$AB$87</c:f>
              <c:numCache>
                <c:formatCode>0.00</c:formatCode>
                <c:ptCount val="8"/>
                <c:pt idx="0">
                  <c:v>1319.4844970424815</c:v>
                </c:pt>
                <c:pt idx="1">
                  <c:v>1416.2954763367818</c:v>
                </c:pt>
                <c:pt idx="2">
                  <c:v>1533.5073872536495</c:v>
                </c:pt>
                <c:pt idx="3">
                  <c:v>1613.8104933131738</c:v>
                </c:pt>
                <c:pt idx="4">
                  <c:v>1745.1757027050924</c:v>
                </c:pt>
                <c:pt idx="5">
                  <c:v>2164.3384084671557</c:v>
                </c:pt>
                <c:pt idx="6">
                  <c:v>2206.0600618576109</c:v>
                </c:pt>
                <c:pt idx="7">
                  <c:v>2336.9511438023419</c:v>
                </c:pt>
              </c:numCache>
            </c:numRef>
          </c:yVal>
          <c:smooth val="0"/>
          <c:extLst>
            <c:ext xmlns:c16="http://schemas.microsoft.com/office/drawing/2014/chart" uri="{C3380CC4-5D6E-409C-BE32-E72D297353CC}">
              <c16:uniqueId val="{00000001-B0B5-5045-876F-5DD335EC1DDA}"/>
            </c:ext>
          </c:extLst>
        </c:ser>
        <c:dLbls>
          <c:showLegendKey val="0"/>
          <c:showVal val="0"/>
          <c:showCatName val="0"/>
          <c:showSerName val="0"/>
          <c:showPercent val="0"/>
          <c:showBubbleSize val="0"/>
        </c:dLbls>
        <c:axId val="74651136"/>
        <c:axId val="74652672"/>
      </c:scatterChart>
      <c:valAx>
        <c:axId val="74651136"/>
        <c:scaling>
          <c:orientation val="minMax"/>
        </c:scaling>
        <c:delete val="0"/>
        <c:axPos val="b"/>
        <c:numFmt formatCode="General" sourceLinked="1"/>
        <c:majorTickMark val="none"/>
        <c:minorTickMark val="none"/>
        <c:tickLblPos val="nextTo"/>
        <c:crossAx val="74652672"/>
        <c:crosses val="autoZero"/>
        <c:crossBetween val="midCat"/>
      </c:valAx>
      <c:valAx>
        <c:axId val="74652672"/>
        <c:scaling>
          <c:orientation val="minMax"/>
        </c:scaling>
        <c:delete val="0"/>
        <c:axPos val="l"/>
        <c:numFmt formatCode="0" sourceLinked="0"/>
        <c:majorTickMark val="none"/>
        <c:minorTickMark val="none"/>
        <c:tickLblPos val="nextTo"/>
        <c:crossAx val="74651136"/>
        <c:crosses val="autoZero"/>
        <c:crossBetween val="midCat"/>
      </c:valAx>
    </c:plotArea>
    <c:legend>
      <c:legendPos val="r"/>
      <c:overlay val="0"/>
    </c:legend>
    <c:plotVisOnly val="1"/>
    <c:dispBlanksAs val="gap"/>
    <c:showDLblsOverMax val="0"/>
  </c:chart>
  <c:printSettings>
    <c:headerFooter/>
    <c:pageMargins b="0.75000000000000566" l="0.70000000000000095" r="0.70000000000000095" t="0.750000000000005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t-IT"/>
              <a:t>MARZO</a:t>
            </a:r>
          </a:p>
        </c:rich>
      </c:tx>
      <c:overlay val="0"/>
    </c:title>
    <c:autoTitleDeleted val="0"/>
    <c:plotArea>
      <c:layout/>
      <c:scatterChart>
        <c:scatterStyle val="lineMarker"/>
        <c:varyColors val="0"/>
        <c:ser>
          <c:idx val="0"/>
          <c:order val="0"/>
          <c:tx>
            <c:v>Pv</c:v>
          </c:tx>
          <c:marker>
            <c:symbol val="none"/>
          </c:marker>
          <c:xVal>
            <c:numRef>
              <c:f>'14.Condensazione'!$AD$118:$AD$125</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'14.Condensazione'!$AC$118:$AC$125</c:f>
              <c:numCache>
                <c:formatCode>0.00</c:formatCode>
                <c:ptCount val="8"/>
                <c:pt idx="0">
                  <c:v>1011</c:v>
                </c:pt>
                <c:pt idx="1">
                  <c:v>1130.9716029776957</c:v>
                </c:pt>
                <c:pt idx="2">
                  <c:v>1132.4712480149169</c:v>
                </c:pt>
                <c:pt idx="3">
                  <c:v>1172.4617823408155</c:v>
                </c:pt>
                <c:pt idx="4">
                  <c:v>1173.9614273780367</c:v>
                </c:pt>
                <c:pt idx="5">
                  <c:v>1427.9950305210966</c:v>
                </c:pt>
                <c:pt idx="6">
                  <c:v>1477.9831984284699</c:v>
                </c:pt>
                <c:pt idx="7">
                  <c:v>1477.9831984284699</c:v>
                </c:pt>
              </c:numCache>
            </c:numRef>
          </c:yVal>
          <c:smooth val="0"/>
          <c:extLst>
            <c:ext xmlns:c16="http://schemas.microsoft.com/office/drawing/2014/chart" uri="{C3380CC4-5D6E-409C-BE32-E72D297353CC}">
              <c16:uniqueId val="{00000000-A11B-CB42-AC92-AE6501E83CA6}"/>
            </c:ext>
          </c:extLst>
        </c:ser>
        <c:ser>
          <c:idx val="1"/>
          <c:order val="1"/>
          <c:tx>
            <c:v>Psat</c:v>
          </c:tx>
          <c:marker>
            <c:symbol val="none"/>
          </c:marker>
          <c:xVal>
            <c:numRef>
              <c:f>'14.Condensazione'!$AD$118:$AD$125</c:f>
              <c:numCache>
                <c:formatCode>0.00</c:formatCode>
                <c:ptCount val="8"/>
                <c:pt idx="0" formatCode="General">
                  <c:v>0</c:v>
                </c:pt>
                <c:pt idx="1">
                  <c:v>0.8</c:v>
                </c:pt>
                <c:pt idx="2">
                  <c:v>0.81</c:v>
                </c:pt>
                <c:pt idx="3">
                  <c:v>1.0766666666666667</c:v>
                </c:pt>
                <c:pt idx="4">
                  <c:v>1.0866666666666667</c:v>
                </c:pt>
                <c:pt idx="5">
                  <c:v>2.780624882364013</c:v>
                </c:pt>
                <c:pt idx="6">
                  <c:v>3.1139582156973464</c:v>
                </c:pt>
                <c:pt idx="7">
                  <c:v>3.2139582156973465</c:v>
                </c:pt>
              </c:numCache>
            </c:numRef>
          </c:xVal>
          <c:yVal>
            <c:numRef>
              <c:f>'14.Condensazione'!$AB$118:$AB$125</c:f>
              <c:numCache>
                <c:formatCode>0.00</c:formatCode>
                <c:ptCount val="8"/>
                <c:pt idx="0">
                  <c:v>1499.2523131221931</c:v>
                </c:pt>
                <c:pt idx="1">
                  <c:v>1583.4020040828646</c:v>
                </c:pt>
                <c:pt idx="2">
                  <c:v>1683.7565141680295</c:v>
                </c:pt>
                <c:pt idx="3">
                  <c:v>1751.625237621505</c:v>
                </c:pt>
                <c:pt idx="4">
                  <c:v>1861.2324675233726</c:v>
                </c:pt>
                <c:pt idx="5">
                  <c:v>2200.8827289418064</c:v>
                </c:pt>
                <c:pt idx="6">
                  <c:v>2233.9556009590046</c:v>
                </c:pt>
                <c:pt idx="7">
                  <c:v>2336.9511438023419</c:v>
                </c:pt>
              </c:numCache>
            </c:numRef>
          </c:yVal>
          <c:smooth val="0"/>
          <c:extLst>
            <c:ext xmlns:c16="http://schemas.microsoft.com/office/drawing/2014/chart" uri="{C3380CC4-5D6E-409C-BE32-E72D297353CC}">
              <c16:uniqueId val="{00000001-A11B-CB42-AC92-AE6501E83CA6}"/>
            </c:ext>
          </c:extLst>
        </c:ser>
        <c:dLbls>
          <c:showLegendKey val="0"/>
          <c:showVal val="0"/>
          <c:showCatName val="0"/>
          <c:showSerName val="0"/>
          <c:showPercent val="0"/>
          <c:showBubbleSize val="0"/>
        </c:dLbls>
        <c:axId val="74677632"/>
        <c:axId val="74708096"/>
      </c:scatterChart>
      <c:valAx>
        <c:axId val="74677632"/>
        <c:scaling>
          <c:orientation val="minMax"/>
        </c:scaling>
        <c:delete val="0"/>
        <c:axPos val="b"/>
        <c:numFmt formatCode="General" sourceLinked="1"/>
        <c:majorTickMark val="none"/>
        <c:minorTickMark val="none"/>
        <c:tickLblPos val="nextTo"/>
        <c:crossAx val="74708096"/>
        <c:crosses val="autoZero"/>
        <c:crossBetween val="midCat"/>
      </c:valAx>
      <c:valAx>
        <c:axId val="74708096"/>
        <c:scaling>
          <c:orientation val="minMax"/>
        </c:scaling>
        <c:delete val="0"/>
        <c:axPos val="l"/>
        <c:numFmt formatCode="0" sourceLinked="0"/>
        <c:majorTickMark val="none"/>
        <c:minorTickMark val="none"/>
        <c:tickLblPos val="nextTo"/>
        <c:crossAx val="74677632"/>
        <c:crosses val="autoZero"/>
        <c:crossBetween val="midCat"/>
      </c:valAx>
    </c:plotArea>
    <c:legend>
      <c:legendPos val="r"/>
      <c:overlay val="0"/>
    </c:legend>
    <c:plotVisOnly val="1"/>
    <c:dispBlanksAs val="gap"/>
    <c:showDLblsOverMax val="0"/>
  </c:chart>
  <c:printSettings>
    <c:headerFooter/>
    <c:pageMargins b="0.75000000000000566" l="0.70000000000000095" r="0.70000000000000095" t="0.75000000000000566"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4.png"/><Relationship Id="rId13" Type="http://schemas.openxmlformats.org/officeDocument/2006/relationships/image" Target="../media/image59.png"/><Relationship Id="rId3" Type="http://schemas.openxmlformats.org/officeDocument/2006/relationships/image" Target="../media/image49.png"/><Relationship Id="rId7" Type="http://schemas.openxmlformats.org/officeDocument/2006/relationships/image" Target="../media/image53.png"/><Relationship Id="rId12" Type="http://schemas.openxmlformats.org/officeDocument/2006/relationships/image" Target="../media/image58.png"/><Relationship Id="rId2" Type="http://schemas.openxmlformats.org/officeDocument/2006/relationships/image" Target="../media/image48.png"/><Relationship Id="rId1" Type="http://schemas.openxmlformats.org/officeDocument/2006/relationships/image" Target="../media/image4.emf"/><Relationship Id="rId6" Type="http://schemas.openxmlformats.org/officeDocument/2006/relationships/image" Target="../media/image52.png"/><Relationship Id="rId11" Type="http://schemas.openxmlformats.org/officeDocument/2006/relationships/image" Target="../media/image57.png"/><Relationship Id="rId5" Type="http://schemas.openxmlformats.org/officeDocument/2006/relationships/image" Target="../media/image51.png"/><Relationship Id="rId10" Type="http://schemas.openxmlformats.org/officeDocument/2006/relationships/image" Target="../media/image56.png"/><Relationship Id="rId4" Type="http://schemas.openxmlformats.org/officeDocument/2006/relationships/image" Target="../media/image50.png"/><Relationship Id="rId9" Type="http://schemas.openxmlformats.org/officeDocument/2006/relationships/image" Target="../media/image55.png"/></Relationships>
</file>

<file path=xl/drawings/_rels/drawing1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60.jpe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image" Target="../media/image4.emf"/><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6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6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2.png"/></Relationships>
</file>

<file path=xl/drawings/_rels/drawing15.xml.rels><?xml version="1.0" encoding="UTF-8" standalone="yes"?>
<Relationships xmlns="http://schemas.openxmlformats.org/package/2006/relationships"><Relationship Id="rId8" Type="http://schemas.openxmlformats.org/officeDocument/2006/relationships/image" Target="../media/image69.jpeg"/><Relationship Id="rId13" Type="http://schemas.openxmlformats.org/officeDocument/2006/relationships/image" Target="../media/image74.png"/><Relationship Id="rId3" Type="http://schemas.openxmlformats.org/officeDocument/2006/relationships/image" Target="../media/image4.emf"/><Relationship Id="rId7" Type="http://schemas.openxmlformats.org/officeDocument/2006/relationships/image" Target="../media/image68.jpeg"/><Relationship Id="rId12" Type="http://schemas.openxmlformats.org/officeDocument/2006/relationships/image" Target="../media/image73.png"/><Relationship Id="rId2" Type="http://schemas.openxmlformats.org/officeDocument/2006/relationships/image" Target="../media/image64.png"/><Relationship Id="rId1" Type="http://schemas.openxmlformats.org/officeDocument/2006/relationships/image" Target="../media/image63.png"/><Relationship Id="rId6" Type="http://schemas.openxmlformats.org/officeDocument/2006/relationships/image" Target="../media/image67.png"/><Relationship Id="rId11" Type="http://schemas.openxmlformats.org/officeDocument/2006/relationships/image" Target="../media/image72.png"/><Relationship Id="rId5" Type="http://schemas.openxmlformats.org/officeDocument/2006/relationships/image" Target="../media/image66.png"/><Relationship Id="rId10" Type="http://schemas.openxmlformats.org/officeDocument/2006/relationships/image" Target="../media/image71.png"/><Relationship Id="rId4" Type="http://schemas.openxmlformats.org/officeDocument/2006/relationships/image" Target="../media/image65.png"/><Relationship Id="rId9" Type="http://schemas.openxmlformats.org/officeDocument/2006/relationships/image" Target="../media/image70.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emf"/><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4.emf"/><Relationship Id="rId5" Type="http://schemas.openxmlformats.org/officeDocument/2006/relationships/image" Target="../media/image13.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emf"/><Relationship Id="rId1" Type="http://schemas.openxmlformats.org/officeDocument/2006/relationships/image" Target="../media/image4.emf"/><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8" Type="http://schemas.openxmlformats.org/officeDocument/2006/relationships/image" Target="../media/image23.jpeg"/><Relationship Id="rId13" Type="http://schemas.openxmlformats.org/officeDocument/2006/relationships/image" Target="../media/image28.png"/><Relationship Id="rId3" Type="http://schemas.openxmlformats.org/officeDocument/2006/relationships/image" Target="../media/image18.png"/><Relationship Id="rId7" Type="http://schemas.openxmlformats.org/officeDocument/2006/relationships/image" Target="../media/image22.jpeg"/><Relationship Id="rId12" Type="http://schemas.openxmlformats.org/officeDocument/2006/relationships/image" Target="../media/image27.png"/><Relationship Id="rId17" Type="http://schemas.openxmlformats.org/officeDocument/2006/relationships/image" Target="../media/image32.png"/><Relationship Id="rId2" Type="http://schemas.openxmlformats.org/officeDocument/2006/relationships/image" Target="../media/image17.png"/><Relationship Id="rId16" Type="http://schemas.openxmlformats.org/officeDocument/2006/relationships/image" Target="../media/image31.png"/><Relationship Id="rId1" Type="http://schemas.openxmlformats.org/officeDocument/2006/relationships/image" Target="../media/image4.emf"/><Relationship Id="rId6" Type="http://schemas.openxmlformats.org/officeDocument/2006/relationships/image" Target="../media/image21.jpeg"/><Relationship Id="rId11" Type="http://schemas.openxmlformats.org/officeDocument/2006/relationships/image" Target="../media/image26.jpeg"/><Relationship Id="rId5" Type="http://schemas.openxmlformats.org/officeDocument/2006/relationships/image" Target="../media/image20.png"/><Relationship Id="rId15" Type="http://schemas.openxmlformats.org/officeDocument/2006/relationships/image" Target="../media/image30.png"/><Relationship Id="rId10" Type="http://schemas.openxmlformats.org/officeDocument/2006/relationships/image" Target="../media/image25.jpeg"/><Relationship Id="rId4" Type="http://schemas.openxmlformats.org/officeDocument/2006/relationships/image" Target="../media/image19.png"/><Relationship Id="rId9" Type="http://schemas.openxmlformats.org/officeDocument/2006/relationships/image" Target="../media/image24.jpeg"/><Relationship Id="rId14" Type="http://schemas.openxmlformats.org/officeDocument/2006/relationships/image" Target="../media/image29.png"/></Relationships>
</file>

<file path=xl/drawings/_rels/drawing8.xml.rels><?xml version="1.0" encoding="UTF-8" standalone="yes"?>
<Relationships xmlns="http://schemas.openxmlformats.org/package/2006/relationships"><Relationship Id="rId8" Type="http://schemas.openxmlformats.org/officeDocument/2006/relationships/image" Target="../media/image39.png"/><Relationship Id="rId3" Type="http://schemas.openxmlformats.org/officeDocument/2006/relationships/image" Target="../media/image34.png"/><Relationship Id="rId7" Type="http://schemas.openxmlformats.org/officeDocument/2006/relationships/image" Target="../media/image38.png"/><Relationship Id="rId2" Type="http://schemas.openxmlformats.org/officeDocument/2006/relationships/image" Target="../media/image33.png"/><Relationship Id="rId1" Type="http://schemas.openxmlformats.org/officeDocument/2006/relationships/image" Target="../media/image4.emf"/><Relationship Id="rId6" Type="http://schemas.openxmlformats.org/officeDocument/2006/relationships/image" Target="../media/image37.png"/><Relationship Id="rId5" Type="http://schemas.openxmlformats.org/officeDocument/2006/relationships/image" Target="../media/image36.png"/><Relationship Id="rId10" Type="http://schemas.openxmlformats.org/officeDocument/2006/relationships/image" Target="../media/image2.png"/><Relationship Id="rId4" Type="http://schemas.openxmlformats.org/officeDocument/2006/relationships/image" Target="../media/image35.png"/><Relationship Id="rId9" Type="http://schemas.openxmlformats.org/officeDocument/2006/relationships/image" Target="../media/image40.png"/></Relationships>
</file>

<file path=xl/drawings/_rels/drawing9.xml.rels><?xml version="1.0" encoding="UTF-8" standalone="yes"?>
<Relationships xmlns="http://schemas.openxmlformats.org/package/2006/relationships"><Relationship Id="rId8" Type="http://schemas.openxmlformats.org/officeDocument/2006/relationships/image" Target="../media/image47.png"/><Relationship Id="rId3" Type="http://schemas.openxmlformats.org/officeDocument/2006/relationships/image" Target="../media/image42.png"/><Relationship Id="rId7" Type="http://schemas.openxmlformats.org/officeDocument/2006/relationships/image" Target="../media/image46.png"/><Relationship Id="rId2" Type="http://schemas.openxmlformats.org/officeDocument/2006/relationships/image" Target="../media/image41.png"/><Relationship Id="rId1" Type="http://schemas.openxmlformats.org/officeDocument/2006/relationships/image" Target="../media/image4.emf"/><Relationship Id="rId6" Type="http://schemas.openxmlformats.org/officeDocument/2006/relationships/image" Target="../media/image45.png"/><Relationship Id="rId5" Type="http://schemas.openxmlformats.org/officeDocument/2006/relationships/image" Target="../media/image44.png"/><Relationship Id="rId4"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2</xdr:row>
      <xdr:rowOff>101600</xdr:rowOff>
    </xdr:from>
    <xdr:to>
      <xdr:col>16</xdr:col>
      <xdr:colOff>393700</xdr:colOff>
      <xdr:row>52</xdr:row>
      <xdr:rowOff>50800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6702"/>
        <a:stretch/>
      </xdr:blipFill>
      <xdr:spPr>
        <a:xfrm>
          <a:off x="876300" y="596900"/>
          <a:ext cx="12725400" cy="8839200"/>
        </a:xfrm>
        <a:prstGeom prst="rect">
          <a:avLst/>
        </a:prstGeom>
      </xdr:spPr>
    </xdr:pic>
    <xdr:clientData/>
  </xdr:twoCellAnchor>
  <xdr:twoCellAnchor editAs="oneCell">
    <xdr:from>
      <xdr:col>0</xdr:col>
      <xdr:colOff>774700</xdr:colOff>
      <xdr:row>54</xdr:row>
      <xdr:rowOff>127000</xdr:rowOff>
    </xdr:from>
    <xdr:to>
      <xdr:col>19</xdr:col>
      <xdr:colOff>227276</xdr:colOff>
      <xdr:row>84</xdr:row>
      <xdr:rowOff>63500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74700" y="9867900"/>
          <a:ext cx="15137076" cy="5270500"/>
        </a:xfrm>
        <a:prstGeom prst="rect">
          <a:avLst/>
        </a:prstGeom>
      </xdr:spPr>
    </xdr:pic>
    <xdr:clientData/>
  </xdr:twoCellAnchor>
  <xdr:twoCellAnchor>
    <xdr:from>
      <xdr:col>33</xdr:col>
      <xdr:colOff>238125</xdr:colOff>
      <xdr:row>100</xdr:row>
      <xdr:rowOff>142875</xdr:rowOff>
    </xdr:from>
    <xdr:to>
      <xdr:col>37</xdr:col>
      <xdr:colOff>206375</xdr:colOff>
      <xdr:row>105</xdr:row>
      <xdr:rowOff>47625</xdr:rowOff>
    </xdr:to>
    <xdr:sp macro="" textlink="">
      <xdr:nvSpPr>
        <xdr:cNvPr id="4" name="CasellaDiTesto 3">
          <a:extLst>
            <a:ext uri="{FF2B5EF4-FFF2-40B4-BE49-F238E27FC236}">
              <a16:creationId xmlns:a16="http://schemas.microsoft.com/office/drawing/2014/main" id="{00000000-0008-0000-0000-000004000000}"/>
            </a:ext>
          </a:extLst>
        </xdr:cNvPr>
        <xdr:cNvSpPr txBox="1"/>
      </xdr:nvSpPr>
      <xdr:spPr>
        <a:xfrm>
          <a:off x="25384125" y="19288125"/>
          <a:ext cx="301625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3600" b="1">
              <a:latin typeface="Times New Roman" pitchFamily="18" charset="0"/>
              <a:cs typeface="Times New Roman" pitchFamily="18" charset="0"/>
            </a:rPr>
            <a:t>         SUD</a:t>
          </a:r>
        </a:p>
      </xdr:txBody>
    </xdr:sp>
    <xdr:clientData/>
  </xdr:twoCellAnchor>
  <xdr:twoCellAnchor>
    <xdr:from>
      <xdr:col>33</xdr:col>
      <xdr:colOff>333375</xdr:colOff>
      <xdr:row>1</xdr:row>
      <xdr:rowOff>206375</xdr:rowOff>
    </xdr:from>
    <xdr:to>
      <xdr:col>37</xdr:col>
      <xdr:colOff>301625</xdr:colOff>
      <xdr:row>6</xdr:row>
      <xdr:rowOff>15875</xdr:rowOff>
    </xdr:to>
    <xdr:sp macro="" textlink="">
      <xdr:nvSpPr>
        <xdr:cNvPr id="8" name="CasellaDiTesto 7">
          <a:extLst>
            <a:ext uri="{FF2B5EF4-FFF2-40B4-BE49-F238E27FC236}">
              <a16:creationId xmlns:a16="http://schemas.microsoft.com/office/drawing/2014/main" id="{00000000-0008-0000-0000-000008000000}"/>
            </a:ext>
          </a:extLst>
        </xdr:cNvPr>
        <xdr:cNvSpPr txBox="1"/>
      </xdr:nvSpPr>
      <xdr:spPr>
        <a:xfrm>
          <a:off x="25479375" y="396875"/>
          <a:ext cx="301625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3600" b="1">
              <a:latin typeface="Times New Roman" pitchFamily="18" charset="0"/>
              <a:cs typeface="Times New Roman" pitchFamily="18" charset="0"/>
            </a:rPr>
            <a:t>       NORD</a:t>
          </a:r>
        </a:p>
      </xdr:txBody>
    </xdr:sp>
    <xdr:clientData/>
  </xdr:twoCellAnchor>
  <xdr:twoCellAnchor>
    <xdr:from>
      <xdr:col>18</xdr:col>
      <xdr:colOff>523875</xdr:colOff>
      <xdr:row>44</xdr:row>
      <xdr:rowOff>0</xdr:rowOff>
    </xdr:from>
    <xdr:to>
      <xdr:col>22</xdr:col>
      <xdr:colOff>492125</xdr:colOff>
      <xdr:row>48</xdr:row>
      <xdr:rowOff>95250</xdr:rowOff>
    </xdr:to>
    <xdr:sp macro="" textlink="">
      <xdr:nvSpPr>
        <xdr:cNvPr id="9" name="CasellaDiTesto 8">
          <a:extLst>
            <a:ext uri="{FF2B5EF4-FFF2-40B4-BE49-F238E27FC236}">
              <a16:creationId xmlns:a16="http://schemas.microsoft.com/office/drawing/2014/main" id="{00000000-0008-0000-0000-000009000000}"/>
            </a:ext>
          </a:extLst>
        </xdr:cNvPr>
        <xdr:cNvSpPr txBox="1"/>
      </xdr:nvSpPr>
      <xdr:spPr>
        <a:xfrm>
          <a:off x="14239875" y="8477250"/>
          <a:ext cx="301625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3600" b="1">
              <a:latin typeface="Times New Roman" pitchFamily="18" charset="0"/>
              <a:cs typeface="Times New Roman" pitchFamily="18" charset="0"/>
            </a:rPr>
            <a:t>       OVEST</a:t>
          </a:r>
        </a:p>
      </xdr:txBody>
    </xdr:sp>
    <xdr:clientData/>
  </xdr:twoCellAnchor>
  <xdr:twoCellAnchor>
    <xdr:from>
      <xdr:col>48</xdr:col>
      <xdr:colOff>158750</xdr:colOff>
      <xdr:row>42</xdr:row>
      <xdr:rowOff>158750</xdr:rowOff>
    </xdr:from>
    <xdr:to>
      <xdr:col>52</xdr:col>
      <xdr:colOff>127000</xdr:colOff>
      <xdr:row>47</xdr:row>
      <xdr:rowOff>63500</xdr:rowOff>
    </xdr:to>
    <xdr:sp macro="" textlink="">
      <xdr:nvSpPr>
        <xdr:cNvPr id="10" name="CasellaDiTesto 9">
          <a:extLst>
            <a:ext uri="{FF2B5EF4-FFF2-40B4-BE49-F238E27FC236}">
              <a16:creationId xmlns:a16="http://schemas.microsoft.com/office/drawing/2014/main" id="{00000000-0008-0000-0000-00000A000000}"/>
            </a:ext>
          </a:extLst>
        </xdr:cNvPr>
        <xdr:cNvSpPr txBox="1"/>
      </xdr:nvSpPr>
      <xdr:spPr>
        <a:xfrm>
          <a:off x="36734750" y="8255000"/>
          <a:ext cx="301625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3600" b="1">
              <a:latin typeface="Times New Roman" pitchFamily="18" charset="0"/>
              <a:cs typeface="Times New Roman" pitchFamily="18" charset="0"/>
            </a:rPr>
            <a:t>         EST</a:t>
          </a:r>
        </a:p>
      </xdr:txBody>
    </xdr:sp>
    <xdr:clientData/>
  </xdr:twoCellAnchor>
  <xdr:twoCellAnchor editAs="oneCell">
    <xdr:from>
      <xdr:col>22</xdr:col>
      <xdr:colOff>508000</xdr:colOff>
      <xdr:row>6</xdr:row>
      <xdr:rowOff>95250</xdr:rowOff>
    </xdr:from>
    <xdr:to>
      <xdr:col>48</xdr:col>
      <xdr:colOff>470272</xdr:colOff>
      <xdr:row>100</xdr:row>
      <xdr:rowOff>0</xdr:rowOff>
    </xdr:to>
    <xdr:pic>
      <xdr:nvPicPr>
        <xdr:cNvPr id="4099" name="Picture 3">
          <a:extLst>
            <a:ext uri="{FF2B5EF4-FFF2-40B4-BE49-F238E27FC236}">
              <a16:creationId xmlns:a16="http://schemas.microsoft.com/office/drawing/2014/main" id="{00000000-0008-0000-0000-0000031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272000" y="1333500"/>
          <a:ext cx="19774272" cy="17811750"/>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5</xdr:col>
      <xdr:colOff>181428</xdr:colOff>
      <xdr:row>0</xdr:row>
      <xdr:rowOff>0</xdr:rowOff>
    </xdr:from>
    <xdr:ext cx="540300" cy="547228"/>
    <xdr:pic>
      <xdr:nvPicPr>
        <xdr:cNvPr id="4" name="Immagine 33">
          <a:extLst>
            <a:ext uri="{FF2B5EF4-FFF2-40B4-BE49-F238E27FC236}">
              <a16:creationId xmlns:a16="http://schemas.microsoft.com/office/drawing/2014/main" id="{00000000-0008-0000-09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07428" y="0"/>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21777</xdr:colOff>
      <xdr:row>4</xdr:row>
      <xdr:rowOff>174172</xdr:rowOff>
    </xdr:from>
    <xdr:to>
      <xdr:col>18</xdr:col>
      <xdr:colOff>373748</xdr:colOff>
      <xdr:row>6</xdr:row>
      <xdr:rowOff>192315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10638977" y="928915"/>
          <a:ext cx="7239000" cy="393700"/>
        </a:xfrm>
        <a:prstGeom prst="rect">
          <a:avLst/>
        </a:prstGeom>
      </xdr:spPr>
    </xdr:pic>
    <xdr:clientData/>
  </xdr:twoCellAnchor>
  <xdr:twoCellAnchor editAs="oneCell">
    <xdr:from>
      <xdr:col>11</xdr:col>
      <xdr:colOff>29033</xdr:colOff>
      <xdr:row>7</xdr:row>
      <xdr:rowOff>0</xdr:rowOff>
    </xdr:from>
    <xdr:to>
      <xdr:col>19</xdr:col>
      <xdr:colOff>531590</xdr:colOff>
      <xdr:row>8</xdr:row>
      <xdr:rowOff>103414</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10646233" y="1320800"/>
          <a:ext cx="8255000" cy="355600"/>
        </a:xfrm>
        <a:prstGeom prst="rect">
          <a:avLst/>
        </a:prstGeom>
      </xdr:spPr>
    </xdr:pic>
    <xdr:clientData/>
  </xdr:twoCellAnchor>
  <xdr:twoCellAnchor editAs="oneCell">
    <xdr:from>
      <xdr:col>11</xdr:col>
      <xdr:colOff>36290</xdr:colOff>
      <xdr:row>8</xdr:row>
      <xdr:rowOff>123371</xdr:rowOff>
    </xdr:from>
    <xdr:to>
      <xdr:col>17</xdr:col>
      <xdr:colOff>596451</xdr:colOff>
      <xdr:row>10</xdr:row>
      <xdr:rowOff>88900</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4"/>
        <a:stretch>
          <a:fillRect/>
        </a:stretch>
      </xdr:blipFill>
      <xdr:spPr>
        <a:xfrm>
          <a:off x="10653490" y="1632857"/>
          <a:ext cx="6438900" cy="342900"/>
        </a:xfrm>
        <a:prstGeom prst="rect">
          <a:avLst/>
        </a:prstGeom>
      </xdr:spPr>
    </xdr:pic>
    <xdr:clientData/>
  </xdr:twoCellAnchor>
  <xdr:twoCellAnchor editAs="oneCell">
    <xdr:from>
      <xdr:col>11</xdr:col>
      <xdr:colOff>29032</xdr:colOff>
      <xdr:row>10</xdr:row>
      <xdr:rowOff>72571</xdr:rowOff>
    </xdr:from>
    <xdr:to>
      <xdr:col>18</xdr:col>
      <xdr:colOff>762003</xdr:colOff>
      <xdr:row>12</xdr:row>
      <xdr:rowOff>25399</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5"/>
        <a:stretch>
          <a:fillRect/>
        </a:stretch>
      </xdr:blipFill>
      <xdr:spPr>
        <a:xfrm>
          <a:off x="10646232" y="1959428"/>
          <a:ext cx="7620000" cy="330200"/>
        </a:xfrm>
        <a:prstGeom prst="rect">
          <a:avLst/>
        </a:prstGeom>
      </xdr:spPr>
    </xdr:pic>
    <xdr:clientData/>
  </xdr:twoCellAnchor>
  <xdr:twoCellAnchor editAs="oneCell">
    <xdr:from>
      <xdr:col>11</xdr:col>
      <xdr:colOff>14513</xdr:colOff>
      <xdr:row>12</xdr:row>
      <xdr:rowOff>21771</xdr:rowOff>
    </xdr:from>
    <xdr:to>
      <xdr:col>18</xdr:col>
      <xdr:colOff>696684</xdr:colOff>
      <xdr:row>13</xdr:row>
      <xdr:rowOff>163286</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6"/>
        <a:stretch>
          <a:fillRect/>
        </a:stretch>
      </xdr:blipFill>
      <xdr:spPr>
        <a:xfrm>
          <a:off x="10631713" y="2286000"/>
          <a:ext cx="7569200" cy="330200"/>
        </a:xfrm>
        <a:prstGeom prst="rect">
          <a:avLst/>
        </a:prstGeom>
      </xdr:spPr>
    </xdr:pic>
    <xdr:clientData/>
  </xdr:twoCellAnchor>
  <xdr:twoCellAnchor editAs="oneCell">
    <xdr:from>
      <xdr:col>11</xdr:col>
      <xdr:colOff>7257</xdr:colOff>
      <xdr:row>13</xdr:row>
      <xdr:rowOff>130630</xdr:rowOff>
    </xdr:from>
    <xdr:to>
      <xdr:col>15</xdr:col>
      <xdr:colOff>45357</xdr:colOff>
      <xdr:row>15</xdr:row>
      <xdr:rowOff>58058</xdr:rowOff>
    </xdr:to>
    <xdr:pic>
      <xdr:nvPicPr>
        <xdr:cNvPr id="9" name="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7"/>
        <a:stretch>
          <a:fillRect/>
        </a:stretch>
      </xdr:blipFill>
      <xdr:spPr>
        <a:xfrm>
          <a:off x="9437007" y="2569030"/>
          <a:ext cx="3467100" cy="308428"/>
        </a:xfrm>
        <a:prstGeom prst="rect">
          <a:avLst/>
        </a:prstGeom>
      </xdr:spPr>
    </xdr:pic>
    <xdr:clientData/>
  </xdr:twoCellAnchor>
  <xdr:twoCellAnchor editAs="oneCell">
    <xdr:from>
      <xdr:col>11</xdr:col>
      <xdr:colOff>21771</xdr:colOff>
      <xdr:row>16</xdr:row>
      <xdr:rowOff>72573</xdr:rowOff>
    </xdr:from>
    <xdr:to>
      <xdr:col>15</xdr:col>
      <xdr:colOff>148771</xdr:colOff>
      <xdr:row>18</xdr:row>
      <xdr:rowOff>12702</xdr:rowOff>
    </xdr:to>
    <xdr:pic>
      <xdr:nvPicPr>
        <xdr:cNvPr id="10" name="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8"/>
        <a:stretch>
          <a:fillRect/>
        </a:stretch>
      </xdr:blipFill>
      <xdr:spPr>
        <a:xfrm>
          <a:off x="10638971" y="2902859"/>
          <a:ext cx="3987800" cy="317500"/>
        </a:xfrm>
        <a:prstGeom prst="rect">
          <a:avLst/>
        </a:prstGeom>
      </xdr:spPr>
    </xdr:pic>
    <xdr:clientData/>
  </xdr:twoCellAnchor>
  <xdr:twoCellAnchor editAs="oneCell">
    <xdr:from>
      <xdr:col>11</xdr:col>
      <xdr:colOff>43543</xdr:colOff>
      <xdr:row>18</xdr:row>
      <xdr:rowOff>7259</xdr:rowOff>
    </xdr:from>
    <xdr:to>
      <xdr:col>15</xdr:col>
      <xdr:colOff>145143</xdr:colOff>
      <xdr:row>19</xdr:row>
      <xdr:rowOff>40823</xdr:rowOff>
    </xdr:to>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9"/>
        <a:stretch>
          <a:fillRect/>
        </a:stretch>
      </xdr:blipFill>
      <xdr:spPr>
        <a:xfrm>
          <a:off x="10660743" y="3214916"/>
          <a:ext cx="3962400" cy="317500"/>
        </a:xfrm>
        <a:prstGeom prst="rect">
          <a:avLst/>
        </a:prstGeom>
      </xdr:spPr>
    </xdr:pic>
    <xdr:clientData/>
  </xdr:twoCellAnchor>
  <xdr:twoCellAnchor editAs="oneCell">
    <xdr:from>
      <xdr:col>11</xdr:col>
      <xdr:colOff>7257</xdr:colOff>
      <xdr:row>19</xdr:row>
      <xdr:rowOff>137888</xdr:rowOff>
    </xdr:from>
    <xdr:to>
      <xdr:col>17</xdr:col>
      <xdr:colOff>113</xdr:colOff>
      <xdr:row>20</xdr:row>
      <xdr:rowOff>14517</xdr:rowOff>
    </xdr:to>
    <xdr:pic>
      <xdr:nvPicPr>
        <xdr:cNvPr id="12" name="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0"/>
        <a:stretch>
          <a:fillRect/>
        </a:stretch>
      </xdr:blipFill>
      <xdr:spPr>
        <a:xfrm>
          <a:off x="10624457" y="3534231"/>
          <a:ext cx="5740400" cy="317500"/>
        </a:xfrm>
        <a:prstGeom prst="rect">
          <a:avLst/>
        </a:prstGeom>
      </xdr:spPr>
    </xdr:pic>
    <xdr:clientData/>
  </xdr:twoCellAnchor>
  <xdr:twoCellAnchor editAs="oneCell">
    <xdr:from>
      <xdr:col>18</xdr:col>
      <xdr:colOff>630916</xdr:colOff>
      <xdr:row>17</xdr:row>
      <xdr:rowOff>31976</xdr:rowOff>
    </xdr:from>
    <xdr:to>
      <xdr:col>31</xdr:col>
      <xdr:colOff>137998</xdr:colOff>
      <xdr:row>56</xdr:row>
      <xdr:rowOff>32067</xdr:rowOff>
    </xdr:to>
    <xdr:pic>
      <xdr:nvPicPr>
        <xdr:cNvPr id="13" name="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1"/>
        <a:stretch>
          <a:fillRect/>
        </a:stretch>
      </xdr:blipFill>
      <xdr:spPr>
        <a:xfrm>
          <a:off x="16132854" y="3222851"/>
          <a:ext cx="8651082" cy="8120154"/>
        </a:xfrm>
        <a:prstGeom prst="rect">
          <a:avLst/>
        </a:prstGeom>
      </xdr:spPr>
    </xdr:pic>
    <xdr:clientData/>
  </xdr:twoCellAnchor>
  <xdr:twoCellAnchor editAs="oneCell">
    <xdr:from>
      <xdr:col>19</xdr:col>
      <xdr:colOff>174852</xdr:colOff>
      <xdr:row>99</xdr:row>
      <xdr:rowOff>42181</xdr:rowOff>
    </xdr:from>
    <xdr:to>
      <xdr:col>31</xdr:col>
      <xdr:colOff>343125</xdr:colOff>
      <xdr:row>131</xdr:row>
      <xdr:rowOff>105488</xdr:rowOff>
    </xdr:to>
    <xdr:pic>
      <xdr:nvPicPr>
        <xdr:cNvPr id="14" name="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2"/>
        <a:stretch>
          <a:fillRect/>
        </a:stretch>
      </xdr:blipFill>
      <xdr:spPr>
        <a:xfrm>
          <a:off x="16462602" y="20101831"/>
          <a:ext cx="8474073" cy="6159307"/>
        </a:xfrm>
        <a:prstGeom prst="rect">
          <a:avLst/>
        </a:prstGeom>
      </xdr:spPr>
    </xdr:pic>
    <xdr:clientData/>
  </xdr:twoCellAnchor>
  <xdr:twoCellAnchor editAs="oneCell">
    <xdr:from>
      <xdr:col>25</xdr:col>
      <xdr:colOff>475343</xdr:colOff>
      <xdr:row>170</xdr:row>
      <xdr:rowOff>100466</xdr:rowOff>
    </xdr:from>
    <xdr:to>
      <xdr:col>37</xdr:col>
      <xdr:colOff>215673</xdr:colOff>
      <xdr:row>177</xdr:row>
      <xdr:rowOff>56015</xdr:rowOff>
    </xdr:to>
    <xdr:pic>
      <xdr:nvPicPr>
        <xdr:cNvPr id="15" name="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3"/>
        <a:stretch>
          <a:fillRect/>
        </a:stretch>
      </xdr:blipFill>
      <xdr:spPr>
        <a:xfrm>
          <a:off x="21525593" y="33761816"/>
          <a:ext cx="6826930" cy="1289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379677</xdr:colOff>
      <xdr:row>90</xdr:row>
      <xdr:rowOff>0</xdr:rowOff>
    </xdr:from>
    <xdr:to>
      <xdr:col>7</xdr:col>
      <xdr:colOff>355865</xdr:colOff>
      <xdr:row>106</xdr:row>
      <xdr:rowOff>178594</xdr:rowOff>
    </xdr:to>
    <xdr:graphicFrame macro="">
      <xdr:nvGraphicFramePr>
        <xdr:cNvPr id="4" name="Grafico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90</xdr:row>
      <xdr:rowOff>0</xdr:rowOff>
    </xdr:from>
    <xdr:to>
      <xdr:col>14</xdr:col>
      <xdr:colOff>822855</xdr:colOff>
      <xdr:row>106</xdr:row>
      <xdr:rowOff>178594</xdr:rowOff>
    </xdr:to>
    <xdr:graphicFrame macro="">
      <xdr:nvGraphicFramePr>
        <xdr:cNvPr id="24" name="Grafico 23">
          <a:extLst>
            <a:ext uri="{FF2B5EF4-FFF2-40B4-BE49-F238E27FC236}">
              <a16:creationId xmlns:a16="http://schemas.microsoft.com/office/drawing/2014/main" id="{00000000-0008-0000-0A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349250</xdr:colOff>
      <xdr:row>144</xdr:row>
      <xdr:rowOff>0</xdr:rowOff>
    </xdr:from>
    <xdr:to>
      <xdr:col>7</xdr:col>
      <xdr:colOff>325438</xdr:colOff>
      <xdr:row>160</xdr:row>
      <xdr:rowOff>178594</xdr:rowOff>
    </xdr:to>
    <xdr:graphicFrame macro="">
      <xdr:nvGraphicFramePr>
        <xdr:cNvPr id="25" name="Grafico 24">
          <a:extLst>
            <a:ext uri="{FF2B5EF4-FFF2-40B4-BE49-F238E27FC236}">
              <a16:creationId xmlns:a16="http://schemas.microsoft.com/office/drawing/2014/main" id="{00000000-0008-0000-0A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144</xdr:row>
      <xdr:rowOff>0</xdr:rowOff>
    </xdr:from>
    <xdr:to>
      <xdr:col>14</xdr:col>
      <xdr:colOff>822855</xdr:colOff>
      <xdr:row>160</xdr:row>
      <xdr:rowOff>178594</xdr:rowOff>
    </xdr:to>
    <xdr:graphicFrame macro="">
      <xdr:nvGraphicFramePr>
        <xdr:cNvPr id="26" name="Grafico 25">
          <a:extLst>
            <a:ext uri="{FF2B5EF4-FFF2-40B4-BE49-F238E27FC236}">
              <a16:creationId xmlns:a16="http://schemas.microsoft.com/office/drawing/2014/main" id="{00000000-0008-0000-0A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357198</xdr:colOff>
      <xdr:row>199</xdr:row>
      <xdr:rowOff>23812</xdr:rowOff>
    </xdr:from>
    <xdr:to>
      <xdr:col>7</xdr:col>
      <xdr:colOff>333386</xdr:colOff>
      <xdr:row>216</xdr:row>
      <xdr:rowOff>11906</xdr:rowOff>
    </xdr:to>
    <xdr:graphicFrame macro="">
      <xdr:nvGraphicFramePr>
        <xdr:cNvPr id="33" name="Grafico 32">
          <a:extLst>
            <a:ext uri="{FF2B5EF4-FFF2-40B4-BE49-F238E27FC236}">
              <a16:creationId xmlns:a16="http://schemas.microsoft.com/office/drawing/2014/main" id="{00000000-0008-0000-0A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7948</xdr:colOff>
      <xdr:row>199</xdr:row>
      <xdr:rowOff>23812</xdr:rowOff>
    </xdr:from>
    <xdr:to>
      <xdr:col>14</xdr:col>
      <xdr:colOff>830803</xdr:colOff>
      <xdr:row>216</xdr:row>
      <xdr:rowOff>11906</xdr:rowOff>
    </xdr:to>
    <xdr:graphicFrame macro="">
      <xdr:nvGraphicFramePr>
        <xdr:cNvPr id="34" name="Grafico 33">
          <a:extLst>
            <a:ext uri="{FF2B5EF4-FFF2-40B4-BE49-F238E27FC236}">
              <a16:creationId xmlns:a16="http://schemas.microsoft.com/office/drawing/2014/main" id="{00000000-0008-0000-0A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394612</xdr:colOff>
      <xdr:row>90</xdr:row>
      <xdr:rowOff>13607</xdr:rowOff>
    </xdr:from>
    <xdr:to>
      <xdr:col>22</xdr:col>
      <xdr:colOff>370800</xdr:colOff>
      <xdr:row>107</xdr:row>
      <xdr:rowOff>1701</xdr:rowOff>
    </xdr:to>
    <xdr:graphicFrame macro="">
      <xdr:nvGraphicFramePr>
        <xdr:cNvPr id="35" name="Grafico 34">
          <a:extLst>
            <a:ext uri="{FF2B5EF4-FFF2-40B4-BE49-F238E27FC236}">
              <a16:creationId xmlns:a16="http://schemas.microsoft.com/office/drawing/2014/main" id="{00000000-0008-0000-0A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14935</xdr:colOff>
      <xdr:row>90</xdr:row>
      <xdr:rowOff>13607</xdr:rowOff>
    </xdr:from>
    <xdr:to>
      <xdr:col>29</xdr:col>
      <xdr:colOff>837790</xdr:colOff>
      <xdr:row>107</xdr:row>
      <xdr:rowOff>1701</xdr:rowOff>
    </xdr:to>
    <xdr:graphicFrame macro="">
      <xdr:nvGraphicFramePr>
        <xdr:cNvPr id="36" name="Grafico 35">
          <a:extLst>
            <a:ext uri="{FF2B5EF4-FFF2-40B4-BE49-F238E27FC236}">
              <a16:creationId xmlns:a16="http://schemas.microsoft.com/office/drawing/2014/main" id="{00000000-0008-0000-0A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326568</xdr:colOff>
      <xdr:row>144</xdr:row>
      <xdr:rowOff>27214</xdr:rowOff>
    </xdr:from>
    <xdr:to>
      <xdr:col>22</xdr:col>
      <xdr:colOff>302756</xdr:colOff>
      <xdr:row>161</xdr:row>
      <xdr:rowOff>15308</xdr:rowOff>
    </xdr:to>
    <xdr:graphicFrame macro="">
      <xdr:nvGraphicFramePr>
        <xdr:cNvPr id="37" name="Grafico 36">
          <a:extLst>
            <a:ext uri="{FF2B5EF4-FFF2-40B4-BE49-F238E27FC236}">
              <a16:creationId xmlns:a16="http://schemas.microsoft.com/office/drawing/2014/main" id="{00000000-0008-0000-0A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820961</xdr:colOff>
      <xdr:row>144</xdr:row>
      <xdr:rowOff>27214</xdr:rowOff>
    </xdr:from>
    <xdr:to>
      <xdr:col>29</xdr:col>
      <xdr:colOff>800173</xdr:colOff>
      <xdr:row>161</xdr:row>
      <xdr:rowOff>15308</xdr:rowOff>
    </xdr:to>
    <xdr:graphicFrame macro="">
      <xdr:nvGraphicFramePr>
        <xdr:cNvPr id="38" name="Grafico 37">
          <a:extLst>
            <a:ext uri="{FF2B5EF4-FFF2-40B4-BE49-F238E27FC236}">
              <a16:creationId xmlns:a16="http://schemas.microsoft.com/office/drawing/2014/main" id="{00000000-0008-0000-0A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326568</xdr:colOff>
      <xdr:row>199</xdr:row>
      <xdr:rowOff>13607</xdr:rowOff>
    </xdr:from>
    <xdr:to>
      <xdr:col>22</xdr:col>
      <xdr:colOff>302756</xdr:colOff>
      <xdr:row>216</xdr:row>
      <xdr:rowOff>1701</xdr:rowOff>
    </xdr:to>
    <xdr:graphicFrame macro="">
      <xdr:nvGraphicFramePr>
        <xdr:cNvPr id="45" name="Grafico 44">
          <a:extLst>
            <a:ext uri="{FF2B5EF4-FFF2-40B4-BE49-F238E27FC236}">
              <a16:creationId xmlns:a16="http://schemas.microsoft.com/office/drawing/2014/main" id="{00000000-0008-0000-0A00-00002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22</xdr:col>
      <xdr:colOff>820961</xdr:colOff>
      <xdr:row>199</xdr:row>
      <xdr:rowOff>13607</xdr:rowOff>
    </xdr:from>
    <xdr:to>
      <xdr:col>29</xdr:col>
      <xdr:colOff>800173</xdr:colOff>
      <xdr:row>216</xdr:row>
      <xdr:rowOff>1701</xdr:rowOff>
    </xdr:to>
    <xdr:graphicFrame macro="">
      <xdr:nvGraphicFramePr>
        <xdr:cNvPr id="46" name="Grafico 45">
          <a:extLst>
            <a:ext uri="{FF2B5EF4-FFF2-40B4-BE49-F238E27FC236}">
              <a16:creationId xmlns:a16="http://schemas.microsoft.com/office/drawing/2014/main" id="{00000000-0008-0000-0A00-00002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10</xdr:col>
      <xdr:colOff>108856</xdr:colOff>
      <xdr:row>29</xdr:row>
      <xdr:rowOff>81643</xdr:rowOff>
    </xdr:from>
    <xdr:to>
      <xdr:col>12</xdr:col>
      <xdr:colOff>517070</xdr:colOff>
      <xdr:row>37</xdr:row>
      <xdr:rowOff>145276</xdr:rowOff>
    </xdr:to>
    <xdr:pic>
      <xdr:nvPicPr>
        <xdr:cNvPr id="29" name="Immagine 28" descr="STR01.jpg">
          <a:extLst>
            <a:ext uri="{FF2B5EF4-FFF2-40B4-BE49-F238E27FC236}">
              <a16:creationId xmlns:a16="http://schemas.microsoft.com/office/drawing/2014/main" id="{00000000-0008-0000-0A00-00001D000000}"/>
            </a:ext>
          </a:extLst>
        </xdr:cNvPr>
        <xdr:cNvPicPr>
          <a:picLocks noChangeAspect="1"/>
        </xdr:cNvPicPr>
      </xdr:nvPicPr>
      <xdr:blipFill>
        <a:blip xmlns:r="http://schemas.openxmlformats.org/officeDocument/2006/relationships" r:embed="rId13"/>
        <a:stretch>
          <a:fillRect/>
        </a:stretch>
      </xdr:blipFill>
      <xdr:spPr>
        <a:xfrm>
          <a:off x="8545285" y="5823857"/>
          <a:ext cx="2095499" cy="1642062"/>
        </a:xfrm>
        <a:prstGeom prst="rect">
          <a:avLst/>
        </a:prstGeom>
        <a:ln w="3175">
          <a:solidFill>
            <a:schemeClr val="tx1"/>
          </a:solidFill>
        </a:ln>
      </xdr:spPr>
    </xdr:pic>
    <xdr:clientData/>
  </xdr:twoCellAnchor>
  <xdr:twoCellAnchor editAs="oneCell">
    <xdr:from>
      <xdr:col>25</xdr:col>
      <xdr:colOff>81644</xdr:colOff>
      <xdr:row>29</xdr:row>
      <xdr:rowOff>108858</xdr:rowOff>
    </xdr:from>
    <xdr:to>
      <xdr:col>27</xdr:col>
      <xdr:colOff>540978</xdr:colOff>
      <xdr:row>38</xdr:row>
      <xdr:rowOff>18523</xdr:rowOff>
    </xdr:to>
    <xdr:pic>
      <xdr:nvPicPr>
        <xdr:cNvPr id="30" name="Immagine 29" descr="STR02.jpg">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14"/>
        <a:stretch>
          <a:fillRect/>
        </a:stretch>
      </xdr:blipFill>
      <xdr:spPr>
        <a:xfrm>
          <a:off x="21172715" y="5851072"/>
          <a:ext cx="2146620" cy="1678594"/>
        </a:xfrm>
        <a:prstGeom prst="rect">
          <a:avLst/>
        </a:prstGeom>
        <a:ln w="3175">
          <a:solidFill>
            <a:schemeClr val="tx1"/>
          </a:solidFill>
        </a:ln>
      </xdr:spPr>
    </xdr:pic>
    <xdr:clientData/>
  </xdr:twoCellAnchor>
  <xdr:twoCellAnchor editAs="oneCell">
    <xdr:from>
      <xdr:col>5</xdr:col>
      <xdr:colOff>174171</xdr:colOff>
      <xdr:row>0</xdr:row>
      <xdr:rowOff>43543</xdr:rowOff>
    </xdr:from>
    <xdr:to>
      <xdr:col>5</xdr:col>
      <xdr:colOff>734715</xdr:colOff>
      <xdr:row>2</xdr:row>
      <xdr:rowOff>125450</xdr:rowOff>
    </xdr:to>
    <xdr:pic>
      <xdr:nvPicPr>
        <xdr:cNvPr id="31" name="Immagine 30">
          <a:extLst>
            <a:ext uri="{FF2B5EF4-FFF2-40B4-BE49-F238E27FC236}">
              <a16:creationId xmlns:a16="http://schemas.microsoft.com/office/drawing/2014/main" id="{00000000-0008-0000-0A00-00001F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7707" t="8088" r="10838" b="8819"/>
        <a:stretch/>
      </xdr:blipFill>
      <xdr:spPr bwMode="auto">
        <a:xfrm>
          <a:off x="4528457" y="43543"/>
          <a:ext cx="560544" cy="560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174171</xdr:colOff>
      <xdr:row>22</xdr:row>
      <xdr:rowOff>43543</xdr:rowOff>
    </xdr:from>
    <xdr:ext cx="560544" cy="560878"/>
    <xdr:pic>
      <xdr:nvPicPr>
        <xdr:cNvPr id="32" name="Immagine 31">
          <a:extLst>
            <a:ext uri="{FF2B5EF4-FFF2-40B4-BE49-F238E27FC236}">
              <a16:creationId xmlns:a16="http://schemas.microsoft.com/office/drawing/2014/main" id="{00000000-0008-0000-0A00-000020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7707" t="8088" r="10838" b="8819"/>
        <a:stretch/>
      </xdr:blipFill>
      <xdr:spPr bwMode="auto">
        <a:xfrm>
          <a:off x="4528457" y="43543"/>
          <a:ext cx="560544" cy="560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174171</xdr:colOff>
      <xdr:row>54</xdr:row>
      <xdr:rowOff>43543</xdr:rowOff>
    </xdr:from>
    <xdr:ext cx="560544" cy="560878"/>
    <xdr:pic>
      <xdr:nvPicPr>
        <xdr:cNvPr id="39" name="Immagine 38">
          <a:extLst>
            <a:ext uri="{FF2B5EF4-FFF2-40B4-BE49-F238E27FC236}">
              <a16:creationId xmlns:a16="http://schemas.microsoft.com/office/drawing/2014/main" id="{00000000-0008-0000-0A00-000027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7707" t="8088" r="10838" b="8819"/>
        <a:stretch/>
      </xdr:blipFill>
      <xdr:spPr bwMode="auto">
        <a:xfrm>
          <a:off x="4528457" y="10417629"/>
          <a:ext cx="560544" cy="560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174171</xdr:colOff>
      <xdr:row>108</xdr:row>
      <xdr:rowOff>43543</xdr:rowOff>
    </xdr:from>
    <xdr:ext cx="560544" cy="560878"/>
    <xdr:pic>
      <xdr:nvPicPr>
        <xdr:cNvPr id="40" name="Immagine 39">
          <a:extLst>
            <a:ext uri="{FF2B5EF4-FFF2-40B4-BE49-F238E27FC236}">
              <a16:creationId xmlns:a16="http://schemas.microsoft.com/office/drawing/2014/main" id="{00000000-0008-0000-0A00-000028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7707" t="8088" r="10838" b="8819"/>
        <a:stretch/>
      </xdr:blipFill>
      <xdr:spPr bwMode="auto">
        <a:xfrm>
          <a:off x="4528457" y="43543"/>
          <a:ext cx="560544" cy="560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174171</xdr:colOff>
      <xdr:row>163</xdr:row>
      <xdr:rowOff>43543</xdr:rowOff>
    </xdr:from>
    <xdr:ext cx="560544" cy="560878"/>
    <xdr:pic>
      <xdr:nvPicPr>
        <xdr:cNvPr id="41" name="Immagine 40">
          <a:extLst>
            <a:ext uri="{FF2B5EF4-FFF2-40B4-BE49-F238E27FC236}">
              <a16:creationId xmlns:a16="http://schemas.microsoft.com/office/drawing/2014/main" id="{00000000-0008-0000-0A00-000029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7707" t="8088" r="10838" b="8819"/>
        <a:stretch/>
      </xdr:blipFill>
      <xdr:spPr bwMode="auto">
        <a:xfrm>
          <a:off x="4528457" y="43543"/>
          <a:ext cx="560544" cy="560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174171</xdr:colOff>
      <xdr:row>22</xdr:row>
      <xdr:rowOff>43543</xdr:rowOff>
    </xdr:from>
    <xdr:ext cx="560544" cy="560878"/>
    <xdr:pic>
      <xdr:nvPicPr>
        <xdr:cNvPr id="42" name="Immagine 41">
          <a:extLst>
            <a:ext uri="{FF2B5EF4-FFF2-40B4-BE49-F238E27FC236}">
              <a16:creationId xmlns:a16="http://schemas.microsoft.com/office/drawing/2014/main" id="{00000000-0008-0000-0A00-00002A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7707" t="8088" r="10838" b="8819"/>
        <a:stretch/>
      </xdr:blipFill>
      <xdr:spPr bwMode="auto">
        <a:xfrm>
          <a:off x="4528457" y="43543"/>
          <a:ext cx="560544" cy="560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174171</xdr:colOff>
      <xdr:row>54</xdr:row>
      <xdr:rowOff>43543</xdr:rowOff>
    </xdr:from>
    <xdr:ext cx="560544" cy="560878"/>
    <xdr:pic>
      <xdr:nvPicPr>
        <xdr:cNvPr id="43" name="Immagine 42">
          <a:extLst>
            <a:ext uri="{FF2B5EF4-FFF2-40B4-BE49-F238E27FC236}">
              <a16:creationId xmlns:a16="http://schemas.microsoft.com/office/drawing/2014/main" id="{00000000-0008-0000-0A00-00002B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7707" t="8088" r="10838" b="8819"/>
        <a:stretch/>
      </xdr:blipFill>
      <xdr:spPr bwMode="auto">
        <a:xfrm>
          <a:off x="4528457" y="43543"/>
          <a:ext cx="560544" cy="560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174171</xdr:colOff>
      <xdr:row>108</xdr:row>
      <xdr:rowOff>43543</xdr:rowOff>
    </xdr:from>
    <xdr:ext cx="560544" cy="560878"/>
    <xdr:pic>
      <xdr:nvPicPr>
        <xdr:cNvPr id="44" name="Immagine 43">
          <a:extLst>
            <a:ext uri="{FF2B5EF4-FFF2-40B4-BE49-F238E27FC236}">
              <a16:creationId xmlns:a16="http://schemas.microsoft.com/office/drawing/2014/main" id="{00000000-0008-0000-0A00-00002C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7707" t="8088" r="10838" b="8819"/>
        <a:stretch/>
      </xdr:blipFill>
      <xdr:spPr bwMode="auto">
        <a:xfrm>
          <a:off x="4528457" y="43543"/>
          <a:ext cx="560544" cy="560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174171</xdr:colOff>
      <xdr:row>163</xdr:row>
      <xdr:rowOff>43543</xdr:rowOff>
    </xdr:from>
    <xdr:ext cx="560544" cy="560878"/>
    <xdr:pic>
      <xdr:nvPicPr>
        <xdr:cNvPr id="47" name="Immagine 46">
          <a:extLst>
            <a:ext uri="{FF2B5EF4-FFF2-40B4-BE49-F238E27FC236}">
              <a16:creationId xmlns:a16="http://schemas.microsoft.com/office/drawing/2014/main" id="{00000000-0008-0000-0A00-00002F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7707" t="8088" r="10838" b="8819"/>
        <a:stretch/>
      </xdr:blipFill>
      <xdr:spPr bwMode="auto">
        <a:xfrm>
          <a:off x="4528457" y="43543"/>
          <a:ext cx="560544" cy="560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5</xdr:col>
      <xdr:colOff>165439</xdr:colOff>
      <xdr:row>0</xdr:row>
      <xdr:rowOff>44823</xdr:rowOff>
    </xdr:from>
    <xdr:ext cx="576000" cy="576000"/>
    <xdr:pic>
      <xdr:nvPicPr>
        <xdr:cNvPr id="4" name="Immagine 3">
          <a:extLst>
            <a:ext uri="{FF2B5EF4-FFF2-40B4-BE49-F238E27FC236}">
              <a16:creationId xmlns:a16="http://schemas.microsoft.com/office/drawing/2014/main" id="{00000000-0008-0000-0B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4513321" y="44823"/>
          <a:ext cx="576000" cy="57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174404</xdr:colOff>
      <xdr:row>31</xdr:row>
      <xdr:rowOff>44823</xdr:rowOff>
    </xdr:from>
    <xdr:ext cx="576000" cy="576000"/>
    <xdr:pic>
      <xdr:nvPicPr>
        <xdr:cNvPr id="5" name="Immagine 4">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4522286" y="5782235"/>
          <a:ext cx="576000" cy="57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5</xdr:col>
      <xdr:colOff>1</xdr:colOff>
      <xdr:row>0</xdr:row>
      <xdr:rowOff>0</xdr:rowOff>
    </xdr:from>
    <xdr:to>
      <xdr:col>6</xdr:col>
      <xdr:colOff>1</xdr:colOff>
      <xdr:row>2</xdr:row>
      <xdr:rowOff>188597</xdr:rowOff>
    </xdr:to>
    <xdr:pic>
      <xdr:nvPicPr>
        <xdr:cNvPr id="2" name="Immagin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clrChange>
            <a:clrFrom>
              <a:srgbClr val="E9E8E0"/>
            </a:clrFrom>
            <a:clrTo>
              <a:srgbClr val="E9E8E0">
                <a:alpha val="0"/>
              </a:srgbClr>
            </a:clrTo>
          </a:clrChange>
          <a:extLst>
            <a:ext uri="{28A0092B-C50C-407E-A947-70E740481C1C}">
              <a14:useLocalDpi xmlns:a14="http://schemas.microsoft.com/office/drawing/2010/main" val="0"/>
            </a:ext>
          </a:extLst>
        </a:blip>
        <a:stretch>
          <a:fillRect/>
        </a:stretch>
      </xdr:blipFill>
      <xdr:spPr>
        <a:xfrm>
          <a:off x="3048001" y="0"/>
          <a:ext cx="609600" cy="569597"/>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1</xdr:colOff>
      <xdr:row>0</xdr:row>
      <xdr:rowOff>0</xdr:rowOff>
    </xdr:from>
    <xdr:to>
      <xdr:col>6</xdr:col>
      <xdr:colOff>1</xdr:colOff>
      <xdr:row>2</xdr:row>
      <xdr:rowOff>188597</xdr:rowOff>
    </xdr:to>
    <xdr:pic>
      <xdr:nvPicPr>
        <xdr:cNvPr id="2" name="Immagin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clrChange>
            <a:clrFrom>
              <a:srgbClr val="E9E8E0"/>
            </a:clrFrom>
            <a:clrTo>
              <a:srgbClr val="E9E8E0">
                <a:alpha val="0"/>
              </a:srgbClr>
            </a:clrTo>
          </a:clrChange>
          <a:extLst>
            <a:ext uri="{28A0092B-C50C-407E-A947-70E740481C1C}">
              <a14:useLocalDpi xmlns:a14="http://schemas.microsoft.com/office/drawing/2010/main" val="0"/>
            </a:ext>
          </a:extLst>
        </a:blip>
        <a:stretch>
          <a:fillRect/>
        </a:stretch>
      </xdr:blipFill>
      <xdr:spPr>
        <a:xfrm>
          <a:off x="3048001" y="0"/>
          <a:ext cx="609600" cy="569597"/>
        </a:xfrm>
        <a:prstGeom prst="rect">
          <a:avLst/>
        </a:prstGeom>
        <a:noFill/>
        <a:ln>
          <a:noFill/>
        </a:ln>
      </xdr:spPr>
    </xdr:pic>
    <xdr:clientData/>
  </xdr:twoCellAnchor>
  <xdr:twoCellAnchor>
    <xdr:from>
      <xdr:col>1</xdr:col>
      <xdr:colOff>9525</xdr:colOff>
      <xdr:row>5</xdr:row>
      <xdr:rowOff>9525</xdr:rowOff>
    </xdr:from>
    <xdr:to>
      <xdr:col>14</xdr:col>
      <xdr:colOff>600075</xdr:colOff>
      <xdr:row>14</xdr:row>
      <xdr:rowOff>47625</xdr:rowOff>
    </xdr:to>
    <xdr:sp macro="" textlink="">
      <xdr:nvSpPr>
        <xdr:cNvPr id="3" name="CasellaDiTesto 2">
          <a:extLst>
            <a:ext uri="{FF2B5EF4-FFF2-40B4-BE49-F238E27FC236}">
              <a16:creationId xmlns:a16="http://schemas.microsoft.com/office/drawing/2014/main" id="{00000000-0008-0000-0D00-000003000000}"/>
            </a:ext>
          </a:extLst>
        </xdr:cNvPr>
        <xdr:cNvSpPr txBox="1"/>
      </xdr:nvSpPr>
      <xdr:spPr>
        <a:xfrm>
          <a:off x="619125" y="1066800"/>
          <a:ext cx="8515350" cy="1752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it-IT" sz="1100"/>
            <a:t>Di</a:t>
          </a:r>
          <a:r>
            <a:rPr lang="it-IT" sz="1100" baseline="0"/>
            <a:t> seguito si riporta il confronto  tra i valori di Energia Primaria per riscaldamento invernale, produzione di acqua calda sanitaria, Energia Primaria globale ed emissioni di CO</a:t>
          </a:r>
          <a:r>
            <a:rPr lang="it-IT" sz="1100" baseline="-25000"/>
            <a:t>2 </a:t>
          </a:r>
          <a:r>
            <a:rPr lang="it-IT" sz="1100" baseline="0"/>
            <a:t>relativi, i primi, alla attuale situzione del sistema edificio - impianto oggetto di studio, gli altri, invece, alle proposte di Efficientamento Energetico che, precisamente, consistono in:</a:t>
          </a:r>
        </a:p>
        <a:p>
          <a:pPr algn="l"/>
          <a:r>
            <a:rPr lang="it-IT" sz="1100" b="1" baseline="0"/>
            <a:t>1. </a:t>
          </a:r>
          <a:r>
            <a:rPr lang="it-IT" sz="1100" baseline="0"/>
            <a:t>Sostituzione degli attuali impianto di riscaldamento (caldaia a Gasolio) e scaldacqua elettrici con caldaia a condensazione  per riscaldamento e produzione di acqua calda sanitaria.</a:t>
          </a:r>
        </a:p>
        <a:p>
          <a:pPr algn="l"/>
          <a:r>
            <a:rPr lang="it-IT" sz="1100" b="1" baseline="0"/>
            <a:t>2. </a:t>
          </a:r>
          <a:r>
            <a:rPr lang="it-IT" sz="1100" baseline="0"/>
            <a:t>Sostituzione degli attuali serramenti a favore di una tipologia dotata di infisso con triplo vetro basso emissivo (4-12-4-12-4) ed intercapedini riempite di gas Krypton; modifica dell'involucro esterno finalizzata alla realizzazione di un isolamento a cappotto che prevede la presenza di un pannello di Polistirene espanso estruso (spessore 70 cm).</a:t>
          </a:r>
        </a:p>
        <a:p>
          <a:pPr algn="l"/>
          <a:r>
            <a:rPr lang="it-IT" sz="1100" b="1" baseline="0"/>
            <a:t>3. </a:t>
          </a:r>
          <a:r>
            <a:rPr lang="it-IT" sz="1100" baseline="0"/>
            <a:t>Efficientamento realizzato dagli effetti combinati delle proposte su  descritte.</a:t>
          </a:r>
          <a:endParaRPr lang="it-IT" sz="1100" baseline="-250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38100</xdr:colOff>
      <xdr:row>72</xdr:row>
      <xdr:rowOff>103438</xdr:rowOff>
    </xdr:from>
    <xdr:to>
      <xdr:col>26</xdr:col>
      <xdr:colOff>123666</xdr:colOff>
      <xdr:row>83</xdr:row>
      <xdr:rowOff>124678</xdr:rowOff>
    </xdr:to>
    <xdr:pic>
      <xdr:nvPicPr>
        <xdr:cNvPr id="2" name="Immagin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0467975" y="14121063"/>
          <a:ext cx="5615357" cy="2132615"/>
        </a:xfrm>
        <a:prstGeom prst="rect">
          <a:avLst/>
        </a:prstGeom>
      </xdr:spPr>
    </xdr:pic>
    <xdr:clientData/>
  </xdr:twoCellAnchor>
  <xdr:twoCellAnchor>
    <xdr:from>
      <xdr:col>17</xdr:col>
      <xdr:colOff>118409</xdr:colOff>
      <xdr:row>78</xdr:row>
      <xdr:rowOff>82871</xdr:rowOff>
    </xdr:from>
    <xdr:to>
      <xdr:col>26</xdr:col>
      <xdr:colOff>213659</xdr:colOff>
      <xdr:row>81</xdr:row>
      <xdr:rowOff>7099</xdr:rowOff>
    </xdr:to>
    <xdr:sp macro="" textlink="">
      <xdr:nvSpPr>
        <xdr:cNvPr id="3" name="Rettangolo 2">
          <a:extLst>
            <a:ext uri="{FF2B5EF4-FFF2-40B4-BE49-F238E27FC236}">
              <a16:creationId xmlns:a16="http://schemas.microsoft.com/office/drawing/2014/main" id="{00000000-0008-0000-0E00-000003000000}"/>
            </a:ext>
          </a:extLst>
        </xdr:cNvPr>
        <xdr:cNvSpPr/>
      </xdr:nvSpPr>
      <xdr:spPr>
        <a:xfrm>
          <a:off x="10548284" y="15243496"/>
          <a:ext cx="5603875" cy="495728"/>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17</xdr:col>
      <xdr:colOff>138767</xdr:colOff>
      <xdr:row>81</xdr:row>
      <xdr:rowOff>147254</xdr:rowOff>
    </xdr:from>
    <xdr:to>
      <xdr:col>26</xdr:col>
      <xdr:colOff>234017</xdr:colOff>
      <xdr:row>83</xdr:row>
      <xdr:rowOff>28775</xdr:rowOff>
    </xdr:to>
    <xdr:sp macro="" textlink="">
      <xdr:nvSpPr>
        <xdr:cNvPr id="4" name="Rettangolo 3">
          <a:extLst>
            <a:ext uri="{FF2B5EF4-FFF2-40B4-BE49-F238E27FC236}">
              <a16:creationId xmlns:a16="http://schemas.microsoft.com/office/drawing/2014/main" id="{00000000-0008-0000-0E00-000004000000}"/>
            </a:ext>
          </a:extLst>
        </xdr:cNvPr>
        <xdr:cNvSpPr/>
      </xdr:nvSpPr>
      <xdr:spPr>
        <a:xfrm>
          <a:off x="10568642" y="15879379"/>
          <a:ext cx="5603875" cy="262521"/>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23</xdr:col>
      <xdr:colOff>321764</xdr:colOff>
      <xdr:row>82</xdr:row>
      <xdr:rowOff>49946</xdr:rowOff>
    </xdr:from>
    <xdr:to>
      <xdr:col>24</xdr:col>
      <xdr:colOff>83639</xdr:colOff>
      <xdr:row>86</xdr:row>
      <xdr:rowOff>153239</xdr:rowOff>
    </xdr:to>
    <xdr:sp macro="" textlink="">
      <xdr:nvSpPr>
        <xdr:cNvPr id="5" name="Freccia in giù 4">
          <a:extLst>
            <a:ext uri="{FF2B5EF4-FFF2-40B4-BE49-F238E27FC236}">
              <a16:creationId xmlns:a16="http://schemas.microsoft.com/office/drawing/2014/main" id="{00000000-0008-0000-0E00-000005000000}"/>
            </a:ext>
          </a:extLst>
        </xdr:cNvPr>
        <xdr:cNvSpPr/>
      </xdr:nvSpPr>
      <xdr:spPr>
        <a:xfrm rot="10800000">
          <a:off x="14498139" y="15972571"/>
          <a:ext cx="349250" cy="865293"/>
        </a:xfrm>
        <a:prstGeom prst="down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editAs="oneCell">
    <xdr:from>
      <xdr:col>27</xdr:col>
      <xdr:colOff>112059</xdr:colOff>
      <xdr:row>96</xdr:row>
      <xdr:rowOff>186069</xdr:rowOff>
    </xdr:from>
    <xdr:to>
      <xdr:col>40</xdr:col>
      <xdr:colOff>158936</xdr:colOff>
      <xdr:row>99</xdr:row>
      <xdr:rowOff>122516</xdr:rowOff>
    </xdr:to>
    <xdr:pic>
      <xdr:nvPicPr>
        <xdr:cNvPr id="6" name="Immagin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stretch>
          <a:fillRect/>
        </a:stretch>
      </xdr:blipFill>
      <xdr:spPr>
        <a:xfrm>
          <a:off x="15961659" y="5348619"/>
          <a:ext cx="8057402" cy="507947"/>
        </a:xfrm>
        <a:prstGeom prst="rect">
          <a:avLst/>
        </a:prstGeom>
      </xdr:spPr>
    </xdr:pic>
    <xdr:clientData/>
  </xdr:twoCellAnchor>
  <xdr:oneCellAnchor>
    <xdr:from>
      <xdr:col>5</xdr:col>
      <xdr:colOff>181428</xdr:colOff>
      <xdr:row>0</xdr:row>
      <xdr:rowOff>0</xdr:rowOff>
    </xdr:from>
    <xdr:ext cx="540300" cy="547228"/>
    <xdr:pic>
      <xdr:nvPicPr>
        <xdr:cNvPr id="7" name="Immagine 33">
          <a:extLst>
            <a:ext uri="{FF2B5EF4-FFF2-40B4-BE49-F238E27FC236}">
              <a16:creationId xmlns:a16="http://schemas.microsoft.com/office/drawing/2014/main" id="{00000000-0008-0000-0E00-000007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707" t="8088" r="10838" b="8819"/>
        <a:stretch/>
      </xdr:blipFill>
      <xdr:spPr bwMode="auto">
        <a:xfrm>
          <a:off x="3134178" y="0"/>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387027</xdr:colOff>
      <xdr:row>185</xdr:row>
      <xdr:rowOff>182863</xdr:rowOff>
    </xdr:from>
    <xdr:to>
      <xdr:col>6</xdr:col>
      <xdr:colOff>575469</xdr:colOff>
      <xdr:row>208</xdr:row>
      <xdr:rowOff>111006</xdr:rowOff>
    </xdr:to>
    <xdr:pic>
      <xdr:nvPicPr>
        <xdr:cNvPr id="8" name="Picture 2">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4">
          <a:extLst>
            <a:ext uri="{BEBA8EAE-BF5A-486C-A8C5-ECC9F3942E4B}">
              <a14:imgProps xmlns:a14="http://schemas.microsoft.com/office/drawing/2010/main">
                <a14:imgLayer>
                  <a14:imgEffect>
                    <a14:sharpenSoften amount="25000"/>
                  </a14:imgEffect>
                </a14:imgLayer>
              </a14:imgProps>
            </a:ext>
            <a:ext uri="{28A0092B-C50C-407E-A947-70E740481C1C}">
              <a14:useLocalDpi xmlns:a14="http://schemas.microsoft.com/office/drawing/2010/main" val="0"/>
            </a:ext>
          </a:extLst>
        </a:blip>
        <a:srcRect/>
        <a:stretch>
          <a:fillRect/>
        </a:stretch>
      </xdr:blipFill>
      <xdr:spPr bwMode="auto">
        <a:xfrm>
          <a:off x="387027" y="17264363"/>
          <a:ext cx="3899223" cy="430964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14</xdr:col>
      <xdr:colOff>269839</xdr:colOff>
      <xdr:row>186</xdr:row>
      <xdr:rowOff>187226</xdr:rowOff>
    </xdr:from>
    <xdr:to>
      <xdr:col>19</xdr:col>
      <xdr:colOff>543343</xdr:colOff>
      <xdr:row>206</xdr:row>
      <xdr:rowOff>183357</xdr:rowOff>
    </xdr:to>
    <xdr:pic>
      <xdr:nvPicPr>
        <xdr:cNvPr id="9" name="Picture 2">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69339" y="17459226"/>
          <a:ext cx="3322828" cy="3806131"/>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20</xdr:col>
      <xdr:colOff>453571</xdr:colOff>
      <xdr:row>187</xdr:row>
      <xdr:rowOff>38911</xdr:rowOff>
    </xdr:from>
    <xdr:to>
      <xdr:col>26</xdr:col>
      <xdr:colOff>291416</xdr:colOff>
      <xdr:row>207</xdr:row>
      <xdr:rowOff>64293</xdr:rowOff>
    </xdr:to>
    <xdr:pic>
      <xdr:nvPicPr>
        <xdr:cNvPr id="10" name="Picture 2">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899571" y="17501411"/>
          <a:ext cx="3520845" cy="383538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12</xdr:col>
      <xdr:colOff>456043</xdr:colOff>
      <xdr:row>98</xdr:row>
      <xdr:rowOff>124019</xdr:rowOff>
    </xdr:from>
    <xdr:to>
      <xdr:col>15</xdr:col>
      <xdr:colOff>271292</xdr:colOff>
      <xdr:row>110</xdr:row>
      <xdr:rowOff>134915</xdr:rowOff>
    </xdr:to>
    <xdr:pic>
      <xdr:nvPicPr>
        <xdr:cNvPr id="11" name="Immagin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751327" y="19455439"/>
          <a:ext cx="1883690" cy="2348851"/>
        </a:xfrm>
        <a:prstGeom prst="rect">
          <a:avLst/>
        </a:prstGeom>
      </xdr:spPr>
    </xdr:pic>
    <xdr:clientData/>
  </xdr:twoCellAnchor>
  <xdr:twoCellAnchor editAs="oneCell">
    <xdr:from>
      <xdr:col>8</xdr:col>
      <xdr:colOff>224518</xdr:colOff>
      <xdr:row>189</xdr:row>
      <xdr:rowOff>70302</xdr:rowOff>
    </xdr:from>
    <xdr:to>
      <xdr:col>13</xdr:col>
      <xdr:colOff>155971</xdr:colOff>
      <xdr:row>199</xdr:row>
      <xdr:rowOff>124731</xdr:rowOff>
    </xdr:to>
    <xdr:pic>
      <xdr:nvPicPr>
        <xdr:cNvPr id="13" name="Immagine 12">
          <a:extLst>
            <a:ext uri="{FF2B5EF4-FFF2-40B4-BE49-F238E27FC236}">
              <a16:creationId xmlns:a16="http://schemas.microsoft.com/office/drawing/2014/main" id="{00000000-0008-0000-0E00-00000D000000}"/>
            </a:ext>
          </a:extLst>
        </xdr:cNvPr>
        <xdr:cNvPicPr>
          <a:picLocks noChangeAspect="1"/>
        </xdr:cNvPicPr>
      </xdr:nvPicPr>
      <xdr:blipFill>
        <a:blip xmlns:r="http://schemas.openxmlformats.org/officeDocument/2006/relationships" r:embed="rId8">
          <a:extLst>
            <a:ext uri="{BEBA8EAE-BF5A-486C-A8C5-ECC9F3942E4B}">
              <a14:imgProps xmlns:a14="http://schemas.microsoft.com/office/drawing/2010/main">
                <a14:imgLayer>
                  <a14:imgEffect>
                    <a14:sharpenSoften amount="50000"/>
                  </a14:imgEffect>
                </a14:imgLayer>
              </a14:imgProps>
            </a:ext>
            <a:ext uri="{28A0092B-C50C-407E-A947-70E740481C1C}">
              <a14:useLocalDpi xmlns:a14="http://schemas.microsoft.com/office/drawing/2010/main" val="0"/>
            </a:ext>
          </a:extLst>
        </a:blip>
        <a:stretch>
          <a:fillRect/>
        </a:stretch>
      </xdr:blipFill>
      <xdr:spPr>
        <a:xfrm>
          <a:off x="5050518" y="17913802"/>
          <a:ext cx="3106453" cy="1959429"/>
        </a:xfrm>
        <a:prstGeom prst="rect">
          <a:avLst/>
        </a:prstGeom>
      </xdr:spPr>
    </xdr:pic>
    <xdr:clientData/>
  </xdr:twoCellAnchor>
  <xdr:twoCellAnchor editAs="oneCell">
    <xdr:from>
      <xdr:col>0</xdr:col>
      <xdr:colOff>293078</xdr:colOff>
      <xdr:row>217</xdr:row>
      <xdr:rowOff>117231</xdr:rowOff>
    </xdr:from>
    <xdr:to>
      <xdr:col>4</xdr:col>
      <xdr:colOff>388511</xdr:colOff>
      <xdr:row>219</xdr:row>
      <xdr:rowOff>98181</xdr:rowOff>
    </xdr:to>
    <xdr:pic>
      <xdr:nvPicPr>
        <xdr:cNvPr id="14" name="Immagine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9">
          <a:extLst>
            <a:ext uri="{BEBA8EAE-BF5A-486C-A8C5-ECC9F3942E4B}">
              <a14:imgProps xmlns:a14="http://schemas.microsoft.com/office/drawing/2010/main">
                <a14:imgLayer>
                  <a14:imgEffect>
                    <a14:sharpenSoften amount="50000"/>
                  </a14:imgEffect>
                </a14:imgLayer>
              </a14:imgProps>
            </a:ext>
            <a:ext uri="{28A0092B-C50C-407E-A947-70E740481C1C}">
              <a14:useLocalDpi xmlns:a14="http://schemas.microsoft.com/office/drawing/2010/main" val="0"/>
            </a:ext>
          </a:extLst>
        </a:blip>
        <a:stretch>
          <a:fillRect/>
        </a:stretch>
      </xdr:blipFill>
      <xdr:spPr>
        <a:xfrm>
          <a:off x="293078" y="22681956"/>
          <a:ext cx="2540977" cy="361950"/>
        </a:xfrm>
        <a:prstGeom prst="rect">
          <a:avLst/>
        </a:prstGeom>
      </xdr:spPr>
    </xdr:pic>
    <xdr:clientData/>
  </xdr:twoCellAnchor>
  <xdr:twoCellAnchor editAs="oneCell">
    <xdr:from>
      <xdr:col>7</xdr:col>
      <xdr:colOff>2016</xdr:colOff>
      <xdr:row>233</xdr:row>
      <xdr:rowOff>39106</xdr:rowOff>
    </xdr:from>
    <xdr:to>
      <xdr:col>14</xdr:col>
      <xdr:colOff>276058</xdr:colOff>
      <xdr:row>255</xdr:row>
      <xdr:rowOff>7327</xdr:rowOff>
    </xdr:to>
    <xdr:pic>
      <xdr:nvPicPr>
        <xdr:cNvPr id="15" name="Immagine 14">
          <a:extLst>
            <a:ext uri="{FF2B5EF4-FFF2-40B4-BE49-F238E27FC236}">
              <a16:creationId xmlns:a16="http://schemas.microsoft.com/office/drawing/2014/main" id="{00000000-0008-0000-0E00-00000F000000}"/>
            </a:ext>
          </a:extLst>
        </xdr:cNvPr>
        <xdr:cNvPicPr>
          <a:picLocks noChangeAspect="1"/>
        </xdr:cNvPicPr>
      </xdr:nvPicPr>
      <xdr:blipFill>
        <a:blip xmlns:r="http://schemas.openxmlformats.org/officeDocument/2006/relationships" r:embed="rId10"/>
        <a:stretch>
          <a:fillRect/>
        </a:stretch>
      </xdr:blipFill>
      <xdr:spPr>
        <a:xfrm>
          <a:off x="4258958" y="26364741"/>
          <a:ext cx="4946177" cy="4159221"/>
        </a:xfrm>
        <a:prstGeom prst="rect">
          <a:avLst/>
        </a:prstGeom>
      </xdr:spPr>
    </xdr:pic>
    <xdr:clientData/>
  </xdr:twoCellAnchor>
  <xdr:twoCellAnchor editAs="oneCell">
    <xdr:from>
      <xdr:col>0</xdr:col>
      <xdr:colOff>476251</xdr:colOff>
      <xdr:row>70</xdr:row>
      <xdr:rowOff>129886</xdr:rowOff>
    </xdr:from>
    <xdr:to>
      <xdr:col>11</xdr:col>
      <xdr:colOff>431210</xdr:colOff>
      <xdr:row>101</xdr:row>
      <xdr:rowOff>75767</xdr:rowOff>
    </xdr:to>
    <xdr:pic>
      <xdr:nvPicPr>
        <xdr:cNvPr id="3074" name="Picture 2">
          <a:extLst>
            <a:ext uri="{FF2B5EF4-FFF2-40B4-BE49-F238E27FC236}">
              <a16:creationId xmlns:a16="http://schemas.microsoft.com/office/drawing/2014/main" id="{00000000-0008-0000-0E00-0000020C0000}"/>
            </a:ext>
          </a:extLst>
        </xdr:cNvPr>
        <xdr:cNvPicPr>
          <a:picLocks noChangeAspect="1" noChangeArrowheads="1"/>
        </xdr:cNvPicPr>
      </xdr:nvPicPr>
      <xdr:blipFill>
        <a:blip xmlns:r="http://schemas.openxmlformats.org/officeDocument/2006/relationships" r:embed="rId11"/>
        <a:srcRect/>
        <a:stretch>
          <a:fillRect/>
        </a:stretch>
      </xdr:blipFill>
      <xdr:spPr bwMode="auto">
        <a:xfrm>
          <a:off x="476251" y="14006079"/>
          <a:ext cx="6797806" cy="5985597"/>
        </a:xfrm>
        <a:prstGeom prst="rect">
          <a:avLst/>
        </a:prstGeom>
        <a:noFill/>
        <a:ln w="1">
          <a:noFill/>
          <a:miter lim="800000"/>
          <a:headEnd/>
          <a:tailEnd type="none" w="med" len="med"/>
        </a:ln>
        <a:effectLst/>
      </xdr:spPr>
    </xdr:pic>
    <xdr:clientData/>
  </xdr:twoCellAnchor>
  <xdr:twoCellAnchor editAs="oneCell">
    <xdr:from>
      <xdr:col>10</xdr:col>
      <xdr:colOff>590551</xdr:colOff>
      <xdr:row>274</xdr:row>
      <xdr:rowOff>95250</xdr:rowOff>
    </xdr:from>
    <xdr:to>
      <xdr:col>13</xdr:col>
      <xdr:colOff>85725</xdr:colOff>
      <xdr:row>279</xdr:row>
      <xdr:rowOff>91811</xdr:rowOff>
    </xdr:to>
    <xdr:pic>
      <xdr:nvPicPr>
        <xdr:cNvPr id="16" name="Picture 1">
          <a:extLst>
            <a:ext uri="{FF2B5EF4-FFF2-40B4-BE49-F238E27FC236}">
              <a16:creationId xmlns:a16="http://schemas.microsoft.com/office/drawing/2014/main" id="{00000000-0008-0000-0E00-000010000000}"/>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6991351" y="7096125"/>
          <a:ext cx="1476374" cy="970492"/>
        </a:xfrm>
        <a:prstGeom prst="rect">
          <a:avLst/>
        </a:prstGeom>
        <a:noFill/>
        <a:ln w="1">
          <a:noFill/>
          <a:miter lim="800000"/>
          <a:headEnd/>
          <a:tailEnd/>
        </a:ln>
      </xdr:spPr>
    </xdr:pic>
    <xdr:clientData/>
  </xdr:twoCellAnchor>
  <xdr:twoCellAnchor editAs="oneCell">
    <xdr:from>
      <xdr:col>23</xdr:col>
      <xdr:colOff>571499</xdr:colOff>
      <xdr:row>258</xdr:row>
      <xdr:rowOff>26994</xdr:rowOff>
    </xdr:from>
    <xdr:to>
      <xdr:col>31</xdr:col>
      <xdr:colOff>205316</xdr:colOff>
      <xdr:row>264</xdr:row>
      <xdr:rowOff>34924</xdr:rowOff>
    </xdr:to>
    <xdr:pic>
      <xdr:nvPicPr>
        <xdr:cNvPr id="6147" name="Picture 3">
          <a:extLst>
            <a:ext uri="{FF2B5EF4-FFF2-40B4-BE49-F238E27FC236}">
              <a16:creationId xmlns:a16="http://schemas.microsoft.com/office/drawing/2014/main" id="{00000000-0008-0000-0E00-000003180000}"/>
            </a:ext>
          </a:extLst>
        </xdr:cNvPr>
        <xdr:cNvPicPr>
          <a:picLocks noChangeAspect="1" noChangeArrowheads="1"/>
        </xdr:cNvPicPr>
      </xdr:nvPicPr>
      <xdr:blipFill>
        <a:blip xmlns:r="http://schemas.openxmlformats.org/officeDocument/2006/relationships" r:embed="rId13"/>
        <a:srcRect/>
        <a:stretch>
          <a:fillRect/>
        </a:stretch>
      </xdr:blipFill>
      <xdr:spPr bwMode="auto">
        <a:xfrm>
          <a:off x="15017749" y="49620494"/>
          <a:ext cx="4375150" cy="2156347"/>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175174</xdr:colOff>
      <xdr:row>0</xdr:row>
      <xdr:rowOff>0</xdr:rowOff>
    </xdr:from>
    <xdr:ext cx="540300" cy="547228"/>
    <xdr:pic>
      <xdr:nvPicPr>
        <xdr:cNvPr id="5" name="Immagine 33">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4992415" y="0"/>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201449</xdr:colOff>
      <xdr:row>21</xdr:row>
      <xdr:rowOff>166415</xdr:rowOff>
    </xdr:from>
    <xdr:ext cx="540300" cy="547228"/>
    <xdr:pic>
      <xdr:nvPicPr>
        <xdr:cNvPr id="6" name="Immagine 33">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18690" y="6805449"/>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227724</xdr:colOff>
      <xdr:row>57</xdr:row>
      <xdr:rowOff>8760</xdr:rowOff>
    </xdr:from>
    <xdr:ext cx="540300" cy="547228"/>
    <xdr:pic>
      <xdr:nvPicPr>
        <xdr:cNvPr id="7" name="Immagine 33">
          <a:extLst>
            <a:ext uri="{FF2B5EF4-FFF2-40B4-BE49-F238E27FC236}">
              <a16:creationId xmlns:a16="http://schemas.microsoft.com/office/drawing/2014/main" id="{00000000-0008-0000-01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44965" y="13917450"/>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9</xdr:col>
      <xdr:colOff>9261</xdr:colOff>
      <xdr:row>36</xdr:row>
      <xdr:rowOff>172134</xdr:rowOff>
    </xdr:from>
    <xdr:to>
      <xdr:col>23</xdr:col>
      <xdr:colOff>189178</xdr:colOff>
      <xdr:row>38</xdr:row>
      <xdr:rowOff>108190</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17355" y="7030134"/>
          <a:ext cx="10014479" cy="317056"/>
        </a:xfrm>
        <a:prstGeom prst="rect">
          <a:avLst/>
        </a:prstGeom>
      </xdr:spPr>
    </xdr:pic>
    <xdr:clientData/>
  </xdr:twoCellAnchor>
  <xdr:twoCellAnchor editAs="oneCell">
    <xdr:from>
      <xdr:col>9</xdr:col>
      <xdr:colOff>10583</xdr:colOff>
      <xdr:row>34</xdr:row>
      <xdr:rowOff>179917</xdr:rowOff>
    </xdr:from>
    <xdr:to>
      <xdr:col>23</xdr:col>
      <xdr:colOff>171450</xdr:colOff>
      <xdr:row>36</xdr:row>
      <xdr:rowOff>179917</xdr:rowOff>
    </xdr:to>
    <xdr:pic>
      <xdr:nvPicPr>
        <xdr:cNvPr id="3" name="Immagin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30583" y="6265334"/>
          <a:ext cx="9982200" cy="381000"/>
        </a:xfrm>
        <a:prstGeom prst="rect">
          <a:avLst/>
        </a:prstGeom>
      </xdr:spPr>
    </xdr:pic>
    <xdr:clientData/>
  </xdr:twoCellAnchor>
  <xdr:twoCellAnchor editAs="oneCell">
    <xdr:from>
      <xdr:col>8</xdr:col>
      <xdr:colOff>821531</xdr:colOff>
      <xdr:row>43</xdr:row>
      <xdr:rowOff>142875</xdr:rowOff>
    </xdr:from>
    <xdr:to>
      <xdr:col>23</xdr:col>
      <xdr:colOff>123825</xdr:colOff>
      <xdr:row>45</xdr:row>
      <xdr:rowOff>142875</xdr:rowOff>
    </xdr:to>
    <xdr:pic>
      <xdr:nvPicPr>
        <xdr:cNvPr id="11" name="Immagin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84281" y="8334375"/>
          <a:ext cx="9982200" cy="381000"/>
        </a:xfrm>
        <a:prstGeom prst="rect">
          <a:avLst/>
        </a:prstGeom>
      </xdr:spPr>
    </xdr:pic>
    <xdr:clientData/>
  </xdr:twoCellAnchor>
  <xdr:twoCellAnchor editAs="oneCell">
    <xdr:from>
      <xdr:col>8</xdr:col>
      <xdr:colOff>821533</xdr:colOff>
      <xdr:row>45</xdr:row>
      <xdr:rowOff>130969</xdr:rowOff>
    </xdr:from>
    <xdr:to>
      <xdr:col>23</xdr:col>
      <xdr:colOff>119065</xdr:colOff>
      <xdr:row>46</xdr:row>
      <xdr:rowOff>142875</xdr:rowOff>
    </xdr:to>
    <xdr:pic>
      <xdr:nvPicPr>
        <xdr:cNvPr id="14" name="Immagin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t="39285"/>
        <a:stretch>
          <a:fillRect/>
        </a:stretch>
      </xdr:blipFill>
      <xdr:spPr>
        <a:xfrm>
          <a:off x="7584283" y="8703469"/>
          <a:ext cx="9977438" cy="202406"/>
        </a:xfrm>
        <a:prstGeom prst="rect">
          <a:avLst/>
        </a:prstGeom>
      </xdr:spPr>
    </xdr:pic>
    <xdr:clientData/>
  </xdr:twoCellAnchor>
  <xdr:twoCellAnchor editAs="oneCell">
    <xdr:from>
      <xdr:col>15</xdr:col>
      <xdr:colOff>166688</xdr:colOff>
      <xdr:row>26</xdr:row>
      <xdr:rowOff>0</xdr:rowOff>
    </xdr:from>
    <xdr:to>
      <xdr:col>21</xdr:col>
      <xdr:colOff>261938</xdr:colOff>
      <xdr:row>34</xdr:row>
      <xdr:rowOff>104775</xdr:rowOff>
    </xdr:to>
    <xdr:pic>
      <xdr:nvPicPr>
        <xdr:cNvPr id="16" name="Immagin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846844" y="4560094"/>
          <a:ext cx="3667125" cy="1628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201457</xdr:colOff>
      <xdr:row>0</xdr:row>
      <xdr:rowOff>17518</xdr:rowOff>
    </xdr:from>
    <xdr:ext cx="540300" cy="547228"/>
    <xdr:pic>
      <xdr:nvPicPr>
        <xdr:cNvPr id="36" name="Immagine 33">
          <a:extLst>
            <a:ext uri="{FF2B5EF4-FFF2-40B4-BE49-F238E27FC236}">
              <a16:creationId xmlns:a16="http://schemas.microsoft.com/office/drawing/2014/main" id="{00000000-0008-0000-0200-00002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176354" y="17518"/>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36</xdr:col>
      <xdr:colOff>105588</xdr:colOff>
      <xdr:row>5</xdr:row>
      <xdr:rowOff>51954</xdr:rowOff>
    </xdr:from>
    <xdr:to>
      <xdr:col>42</xdr:col>
      <xdr:colOff>460115</xdr:colOff>
      <xdr:row>15</xdr:row>
      <xdr:rowOff>12988</xdr:rowOff>
    </xdr:to>
    <xdr:pic>
      <xdr:nvPicPr>
        <xdr:cNvPr id="1026" name="Picture 2">
          <a:extLst>
            <a:ext uri="{FF2B5EF4-FFF2-40B4-BE49-F238E27FC236}">
              <a16:creationId xmlns:a16="http://schemas.microsoft.com/office/drawing/2014/main" id="{00000000-0008-0000-0200-00000204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28542043" y="6199909"/>
          <a:ext cx="3887436" cy="2580409"/>
        </a:xfrm>
        <a:prstGeom prst="rect">
          <a:avLst/>
        </a:prstGeom>
        <a:noFill/>
        <a:ln w="1">
          <a:noFill/>
          <a:miter lim="800000"/>
          <a:headEnd/>
          <a:tailEnd type="none" w="med" len="med"/>
        </a:ln>
        <a:effectLst/>
      </xdr:spPr>
    </xdr:pic>
    <xdr:clientData/>
  </xdr:twoCellAnchor>
  <xdr:twoCellAnchor editAs="oneCell">
    <xdr:from>
      <xdr:col>12</xdr:col>
      <xdr:colOff>104167</xdr:colOff>
      <xdr:row>5</xdr:row>
      <xdr:rowOff>12222</xdr:rowOff>
    </xdr:from>
    <xdr:to>
      <xdr:col>18</xdr:col>
      <xdr:colOff>467592</xdr:colOff>
      <xdr:row>18</xdr:row>
      <xdr:rowOff>173182</xdr:rowOff>
    </xdr:to>
    <xdr:pic>
      <xdr:nvPicPr>
        <xdr:cNvPr id="22" name="Picture 4">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32012917" y="11333365"/>
          <a:ext cx="3874068" cy="2637460"/>
        </a:xfrm>
        <a:prstGeom prst="rect">
          <a:avLst/>
        </a:prstGeom>
        <a:noFill/>
        <a:ln w="1">
          <a:noFill/>
          <a:miter lim="800000"/>
          <a:headEnd/>
          <a:tailEnd type="none" w="med" len="med"/>
        </a:ln>
        <a:effectLst/>
      </xdr:spPr>
    </xdr:pic>
    <xdr:clientData/>
  </xdr:twoCellAnchor>
  <xdr:twoCellAnchor editAs="oneCell">
    <xdr:from>
      <xdr:col>12</xdr:col>
      <xdr:colOff>40821</xdr:colOff>
      <xdr:row>62</xdr:row>
      <xdr:rowOff>81642</xdr:rowOff>
    </xdr:from>
    <xdr:to>
      <xdr:col>18</xdr:col>
      <xdr:colOff>521862</xdr:colOff>
      <xdr:row>73</xdr:row>
      <xdr:rowOff>0</xdr:rowOff>
    </xdr:to>
    <xdr:pic>
      <xdr:nvPicPr>
        <xdr:cNvPr id="25" name="Picture 5">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31949571" y="16546285"/>
          <a:ext cx="3991684" cy="2013858"/>
        </a:xfrm>
        <a:prstGeom prst="rect">
          <a:avLst/>
        </a:prstGeom>
        <a:noFill/>
        <a:ln w="1">
          <a:noFill/>
          <a:miter lim="800000"/>
          <a:headEnd/>
          <a:tailEnd type="none" w="med" len="med"/>
        </a:ln>
        <a:effectLst/>
      </xdr:spPr>
    </xdr:pic>
    <xdr:clientData/>
  </xdr:twoCellAnchor>
  <xdr:twoCellAnchor editAs="oneCell">
    <xdr:from>
      <xdr:col>12</xdr:col>
      <xdr:colOff>42810</xdr:colOff>
      <xdr:row>62</xdr:row>
      <xdr:rowOff>147195</xdr:rowOff>
    </xdr:from>
    <xdr:to>
      <xdr:col>18</xdr:col>
      <xdr:colOff>551269</xdr:colOff>
      <xdr:row>72</xdr:row>
      <xdr:rowOff>185376</xdr:rowOff>
    </xdr:to>
    <xdr:pic>
      <xdr:nvPicPr>
        <xdr:cNvPr id="26" name="Picture 8">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31951560" y="16611838"/>
          <a:ext cx="4019102" cy="1943181"/>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5</xdr:col>
      <xdr:colOff>227724</xdr:colOff>
      <xdr:row>0</xdr:row>
      <xdr:rowOff>70069</xdr:rowOff>
    </xdr:from>
    <xdr:ext cx="540300" cy="547228"/>
    <xdr:pic>
      <xdr:nvPicPr>
        <xdr:cNvPr id="18" name="Immagine 33">
          <a:extLst>
            <a:ext uri="{FF2B5EF4-FFF2-40B4-BE49-F238E27FC236}">
              <a16:creationId xmlns:a16="http://schemas.microsoft.com/office/drawing/2014/main" id="{00000000-0008-0000-0300-00001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44965" y="70069"/>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236482</xdr:colOff>
      <xdr:row>170</xdr:row>
      <xdr:rowOff>52551</xdr:rowOff>
    </xdr:from>
    <xdr:ext cx="540300" cy="547228"/>
    <xdr:pic>
      <xdr:nvPicPr>
        <xdr:cNvPr id="23" name="Immagine 33">
          <a:extLst>
            <a:ext uri="{FF2B5EF4-FFF2-40B4-BE49-F238E27FC236}">
              <a16:creationId xmlns:a16="http://schemas.microsoft.com/office/drawing/2014/main" id="{00000000-0008-0000-0300-00001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53723" y="33834551"/>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262759</xdr:colOff>
      <xdr:row>241</xdr:row>
      <xdr:rowOff>52552</xdr:rowOff>
    </xdr:from>
    <xdr:ext cx="540300" cy="547228"/>
    <xdr:pic>
      <xdr:nvPicPr>
        <xdr:cNvPr id="24" name="Immagine 33">
          <a:extLst>
            <a:ext uri="{FF2B5EF4-FFF2-40B4-BE49-F238E27FC236}">
              <a16:creationId xmlns:a16="http://schemas.microsoft.com/office/drawing/2014/main" id="{00000000-0008-0000-0300-00001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80000" y="40377242"/>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227724</xdr:colOff>
      <xdr:row>257</xdr:row>
      <xdr:rowOff>43793</xdr:rowOff>
    </xdr:from>
    <xdr:ext cx="540300" cy="547228"/>
    <xdr:pic>
      <xdr:nvPicPr>
        <xdr:cNvPr id="25" name="Immagine 33">
          <a:extLst>
            <a:ext uri="{FF2B5EF4-FFF2-40B4-BE49-F238E27FC236}">
              <a16:creationId xmlns:a16="http://schemas.microsoft.com/office/drawing/2014/main" id="{00000000-0008-0000-0300-00001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44965" y="47025034"/>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227724</xdr:colOff>
      <xdr:row>402</xdr:row>
      <xdr:rowOff>35034</xdr:rowOff>
    </xdr:from>
    <xdr:ext cx="540300" cy="547228"/>
    <xdr:pic>
      <xdr:nvPicPr>
        <xdr:cNvPr id="28" name="Immagine 33">
          <a:extLst>
            <a:ext uri="{FF2B5EF4-FFF2-40B4-BE49-F238E27FC236}">
              <a16:creationId xmlns:a16="http://schemas.microsoft.com/office/drawing/2014/main" id="{00000000-0008-0000-0300-00001C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44965" y="67117310"/>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262758</xdr:colOff>
      <xdr:row>455</xdr:row>
      <xdr:rowOff>35034</xdr:rowOff>
    </xdr:from>
    <xdr:ext cx="540300" cy="547228"/>
    <xdr:pic>
      <xdr:nvPicPr>
        <xdr:cNvPr id="29" name="Immagine 33">
          <a:extLst>
            <a:ext uri="{FF2B5EF4-FFF2-40B4-BE49-F238E27FC236}">
              <a16:creationId xmlns:a16="http://schemas.microsoft.com/office/drawing/2014/main" id="{00000000-0008-0000-0300-00001D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79999" y="73642482"/>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9</xdr:col>
      <xdr:colOff>603247</xdr:colOff>
      <xdr:row>274</xdr:row>
      <xdr:rowOff>74085</xdr:rowOff>
    </xdr:from>
    <xdr:to>
      <xdr:col>16</xdr:col>
      <xdr:colOff>125293</xdr:colOff>
      <xdr:row>283</xdr:row>
      <xdr:rowOff>105835</xdr:rowOff>
    </xdr:to>
    <xdr:pic>
      <xdr:nvPicPr>
        <xdr:cNvPr id="10" name="Immagine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
          <a:lum contrast="20000"/>
          <a:extLst>
            <a:ext uri="{28A0092B-C50C-407E-A947-70E740481C1C}">
              <a14:useLocalDpi xmlns:a14="http://schemas.microsoft.com/office/drawing/2010/main" val="0"/>
            </a:ext>
          </a:extLst>
        </a:blip>
        <a:srcRect/>
        <a:stretch>
          <a:fillRect/>
        </a:stretch>
      </xdr:blipFill>
      <xdr:spPr bwMode="auto">
        <a:xfrm>
          <a:off x="8175622" y="28061710"/>
          <a:ext cx="5157671" cy="17462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571500</xdr:colOff>
      <xdr:row>245</xdr:row>
      <xdr:rowOff>158750</xdr:rowOff>
    </xdr:from>
    <xdr:to>
      <xdr:col>28</xdr:col>
      <xdr:colOff>67733</xdr:colOff>
      <xdr:row>258</xdr:row>
      <xdr:rowOff>36294</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a14:imgEffect>
                    <a14:sharpenSoften amount="25000"/>
                  </a14:imgEffect>
                </a14:imgLayer>
              </a14:imgProps>
            </a:ext>
            <a:ext uri="{28A0092B-C50C-407E-A947-70E740481C1C}">
              <a14:useLocalDpi xmlns:a14="http://schemas.microsoft.com/office/drawing/2010/main" val="0"/>
            </a:ext>
          </a:extLst>
        </a:blip>
        <a:stretch>
          <a:fillRect/>
        </a:stretch>
      </xdr:blipFill>
      <xdr:spPr>
        <a:xfrm>
          <a:off x="13271500" y="22976417"/>
          <a:ext cx="7391400" cy="2676525"/>
        </a:xfrm>
        <a:prstGeom prst="rect">
          <a:avLst/>
        </a:prstGeom>
      </xdr:spPr>
    </xdr:pic>
    <xdr:clientData/>
  </xdr:twoCellAnchor>
  <xdr:twoCellAnchor editAs="oneCell">
    <xdr:from>
      <xdr:col>17</xdr:col>
      <xdr:colOff>42235</xdr:colOff>
      <xdr:row>260</xdr:row>
      <xdr:rowOff>62004</xdr:rowOff>
    </xdr:from>
    <xdr:to>
      <xdr:col>29</xdr:col>
      <xdr:colOff>303196</xdr:colOff>
      <xdr:row>313</xdr:row>
      <xdr:rowOff>99108</xdr:rowOff>
    </xdr:to>
    <xdr:pic>
      <xdr:nvPicPr>
        <xdr:cNvPr id="5" name="Immagin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14004764" y="47933533"/>
          <a:ext cx="7567197" cy="10133604"/>
        </a:xfrm>
        <a:prstGeom prst="rect">
          <a:avLst/>
        </a:prstGeom>
      </xdr:spPr>
    </xdr:pic>
    <xdr:clientData/>
  </xdr:twoCellAnchor>
  <xdr:twoCellAnchor>
    <xdr:from>
      <xdr:col>27</xdr:col>
      <xdr:colOff>91082</xdr:colOff>
      <xdr:row>293</xdr:row>
      <xdr:rowOff>11206</xdr:rowOff>
    </xdr:from>
    <xdr:to>
      <xdr:col>28</xdr:col>
      <xdr:colOff>388658</xdr:colOff>
      <xdr:row>294</xdr:row>
      <xdr:rowOff>168899</xdr:rowOff>
    </xdr:to>
    <xdr:sp macro="" textlink="">
      <xdr:nvSpPr>
        <xdr:cNvPr id="4" name="Freccia a destra 3">
          <a:extLst>
            <a:ext uri="{FF2B5EF4-FFF2-40B4-BE49-F238E27FC236}">
              <a16:creationId xmlns:a16="http://schemas.microsoft.com/office/drawing/2014/main" id="{00000000-0008-0000-0300-000004000000}"/>
            </a:ext>
          </a:extLst>
        </xdr:cNvPr>
        <xdr:cNvSpPr/>
      </xdr:nvSpPr>
      <xdr:spPr>
        <a:xfrm>
          <a:off x="20172023" y="54169235"/>
          <a:ext cx="891488" cy="348193"/>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15</xdr:col>
      <xdr:colOff>126999</xdr:colOff>
      <xdr:row>248</xdr:row>
      <xdr:rowOff>148166</xdr:rowOff>
    </xdr:from>
    <xdr:to>
      <xdr:col>16</xdr:col>
      <xdr:colOff>158749</xdr:colOff>
      <xdr:row>250</xdr:row>
      <xdr:rowOff>105833</xdr:rowOff>
    </xdr:to>
    <xdr:sp macro="" textlink="">
      <xdr:nvSpPr>
        <xdr:cNvPr id="13" name="Freccia a destra 12">
          <a:extLst>
            <a:ext uri="{FF2B5EF4-FFF2-40B4-BE49-F238E27FC236}">
              <a16:creationId xmlns:a16="http://schemas.microsoft.com/office/drawing/2014/main" id="{00000000-0008-0000-0300-00000D000000}"/>
            </a:ext>
          </a:extLst>
        </xdr:cNvPr>
        <xdr:cNvSpPr/>
      </xdr:nvSpPr>
      <xdr:spPr>
        <a:xfrm>
          <a:off x="12826999" y="23854833"/>
          <a:ext cx="624417" cy="338667"/>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12</xdr:col>
      <xdr:colOff>390338</xdr:colOff>
      <xdr:row>277</xdr:row>
      <xdr:rowOff>148789</xdr:rowOff>
    </xdr:from>
    <xdr:to>
      <xdr:col>13</xdr:col>
      <xdr:colOff>9338</xdr:colOff>
      <xdr:row>279</xdr:row>
      <xdr:rowOff>623</xdr:rowOff>
    </xdr:to>
    <xdr:cxnSp macro="">
      <xdr:nvCxnSpPr>
        <xdr:cNvPr id="6" name="Connettore 1 5">
          <a:extLst>
            <a:ext uri="{FF2B5EF4-FFF2-40B4-BE49-F238E27FC236}">
              <a16:creationId xmlns:a16="http://schemas.microsoft.com/office/drawing/2014/main" id="{00000000-0008-0000-0300-000006000000}"/>
            </a:ext>
          </a:extLst>
        </xdr:cNvPr>
        <xdr:cNvCxnSpPr/>
      </xdr:nvCxnSpPr>
      <xdr:spPr>
        <a:xfrm flipV="1">
          <a:off x="10610103" y="51258818"/>
          <a:ext cx="470647" cy="23283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84666</xdr:colOff>
      <xdr:row>274</xdr:row>
      <xdr:rowOff>95250</xdr:rowOff>
    </xdr:from>
    <xdr:to>
      <xdr:col>14</xdr:col>
      <xdr:colOff>728382</xdr:colOff>
      <xdr:row>277</xdr:row>
      <xdr:rowOff>123265</xdr:rowOff>
    </xdr:to>
    <xdr:sp macro="" textlink="">
      <xdr:nvSpPr>
        <xdr:cNvPr id="9" name="CasellaDiTesto 8">
          <a:extLst>
            <a:ext uri="{FF2B5EF4-FFF2-40B4-BE49-F238E27FC236}">
              <a16:creationId xmlns:a16="http://schemas.microsoft.com/office/drawing/2014/main" id="{00000000-0008-0000-0300-000009000000}"/>
            </a:ext>
          </a:extLst>
        </xdr:cNvPr>
        <xdr:cNvSpPr txBox="1"/>
      </xdr:nvSpPr>
      <xdr:spPr>
        <a:xfrm>
          <a:off x="11156078" y="50633779"/>
          <a:ext cx="1495363" cy="599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a:t>
          </a:r>
          <a:r>
            <a:rPr lang="it-IT" sz="1100" baseline="0"/>
            <a:t> semplicità non consideriamo questo termine</a:t>
          </a:r>
        </a:p>
        <a:p>
          <a:endParaRPr lang="it-IT"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262758</xdr:colOff>
      <xdr:row>0</xdr:row>
      <xdr:rowOff>52552</xdr:rowOff>
    </xdr:from>
    <xdr:ext cx="540300" cy="547228"/>
    <xdr:pic>
      <xdr:nvPicPr>
        <xdr:cNvPr id="8" name="Immagine 33">
          <a:extLst>
            <a:ext uri="{FF2B5EF4-FFF2-40B4-BE49-F238E27FC236}">
              <a16:creationId xmlns:a16="http://schemas.microsoft.com/office/drawing/2014/main" id="{00000000-0008-0000-04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79999" y="52552"/>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253999</xdr:colOff>
      <xdr:row>30</xdr:row>
      <xdr:rowOff>52552</xdr:rowOff>
    </xdr:from>
    <xdr:ext cx="540300" cy="547228"/>
    <xdr:pic>
      <xdr:nvPicPr>
        <xdr:cNvPr id="9" name="Immagine 33">
          <a:extLst>
            <a:ext uri="{FF2B5EF4-FFF2-40B4-BE49-F238E27FC236}">
              <a16:creationId xmlns:a16="http://schemas.microsoft.com/office/drawing/2014/main" id="{00000000-0008-0000-04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71240" y="6980621"/>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245241</xdr:colOff>
      <xdr:row>61</xdr:row>
      <xdr:rowOff>52552</xdr:rowOff>
    </xdr:from>
    <xdr:ext cx="540300" cy="547228"/>
    <xdr:pic>
      <xdr:nvPicPr>
        <xdr:cNvPr id="10" name="Immagine 33">
          <a:extLst>
            <a:ext uri="{FF2B5EF4-FFF2-40B4-BE49-F238E27FC236}">
              <a16:creationId xmlns:a16="http://schemas.microsoft.com/office/drawing/2014/main" id="{00000000-0008-0000-0400-00000A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62482" y="13540828"/>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218965</xdr:colOff>
      <xdr:row>0</xdr:row>
      <xdr:rowOff>17517</xdr:rowOff>
    </xdr:from>
    <xdr:ext cx="540300" cy="547228"/>
    <xdr:pic>
      <xdr:nvPicPr>
        <xdr:cNvPr id="4" name="Immagine 33">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298965" y="17517"/>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236483</xdr:colOff>
      <xdr:row>52</xdr:row>
      <xdr:rowOff>70069</xdr:rowOff>
    </xdr:from>
    <xdr:ext cx="540300" cy="547228"/>
    <xdr:pic>
      <xdr:nvPicPr>
        <xdr:cNvPr id="6" name="Immagine 33">
          <a:extLst>
            <a:ext uri="{FF2B5EF4-FFF2-40B4-BE49-F238E27FC236}">
              <a16:creationId xmlns:a16="http://schemas.microsoft.com/office/drawing/2014/main" id="{00000000-0008-0000-05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316483" y="9520621"/>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6</xdr:col>
      <xdr:colOff>175980</xdr:colOff>
      <xdr:row>302</xdr:row>
      <xdr:rowOff>8340</xdr:rowOff>
    </xdr:from>
    <xdr:to>
      <xdr:col>6</xdr:col>
      <xdr:colOff>716280</xdr:colOff>
      <xdr:row>304</xdr:row>
      <xdr:rowOff>58782</xdr:rowOff>
    </xdr:to>
    <xdr:pic>
      <xdr:nvPicPr>
        <xdr:cNvPr id="23" name="Immagine 22">
          <a:extLst>
            <a:ext uri="{FF2B5EF4-FFF2-40B4-BE49-F238E27FC236}">
              <a16:creationId xmlns:a16="http://schemas.microsoft.com/office/drawing/2014/main" id="{00000000-0008-0000-0600-00001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4747980" y="19134540"/>
          <a:ext cx="540300" cy="54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182880</xdr:colOff>
      <xdr:row>156</xdr:row>
      <xdr:rowOff>7620</xdr:rowOff>
    </xdr:from>
    <xdr:to>
      <xdr:col>6</xdr:col>
      <xdr:colOff>723180</xdr:colOff>
      <xdr:row>158</xdr:row>
      <xdr:rowOff>65683</xdr:rowOff>
    </xdr:to>
    <xdr:pic>
      <xdr:nvPicPr>
        <xdr:cNvPr id="24" name="Immagine 23">
          <a:extLst>
            <a:ext uri="{FF2B5EF4-FFF2-40B4-BE49-F238E27FC236}">
              <a16:creationId xmlns:a16="http://schemas.microsoft.com/office/drawing/2014/main" id="{00000000-0008-0000-0600-00001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4754880" y="9281160"/>
          <a:ext cx="540300" cy="54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205739</xdr:colOff>
      <xdr:row>0</xdr:row>
      <xdr:rowOff>0</xdr:rowOff>
    </xdr:from>
    <xdr:to>
      <xdr:col>6</xdr:col>
      <xdr:colOff>766283</xdr:colOff>
      <xdr:row>2</xdr:row>
      <xdr:rowOff>179878</xdr:rowOff>
    </xdr:to>
    <xdr:pic>
      <xdr:nvPicPr>
        <xdr:cNvPr id="25" name="Immagine 24">
          <a:extLst>
            <a:ext uri="{FF2B5EF4-FFF2-40B4-BE49-F238E27FC236}">
              <a16:creationId xmlns:a16="http://schemas.microsoft.com/office/drawing/2014/main" id="{00000000-0008-0000-0600-00001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4777739" y="0"/>
          <a:ext cx="560544" cy="560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190500</xdr:colOff>
      <xdr:row>468</xdr:row>
      <xdr:rowOff>22860</xdr:rowOff>
    </xdr:from>
    <xdr:to>
      <xdr:col>6</xdr:col>
      <xdr:colOff>730800</xdr:colOff>
      <xdr:row>470</xdr:row>
      <xdr:rowOff>184428</xdr:rowOff>
    </xdr:to>
    <xdr:pic>
      <xdr:nvPicPr>
        <xdr:cNvPr id="31" name="Immagine 30">
          <a:extLst>
            <a:ext uri="{FF2B5EF4-FFF2-40B4-BE49-F238E27FC236}">
              <a16:creationId xmlns:a16="http://schemas.microsoft.com/office/drawing/2014/main" id="{00000000-0008-0000-0600-00001F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4762500" y="77861160"/>
          <a:ext cx="540300" cy="54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190500</xdr:colOff>
      <xdr:row>525</xdr:row>
      <xdr:rowOff>10954</xdr:rowOff>
    </xdr:from>
    <xdr:ext cx="576000" cy="576000"/>
    <xdr:pic>
      <xdr:nvPicPr>
        <xdr:cNvPr id="32" name="Immagine 31">
          <a:extLst>
            <a:ext uri="{FF2B5EF4-FFF2-40B4-BE49-F238E27FC236}">
              <a16:creationId xmlns:a16="http://schemas.microsoft.com/office/drawing/2014/main" id="{00000000-0008-0000-0600-000020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476875" y="103928704"/>
          <a:ext cx="576000" cy="57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217714</xdr:colOff>
      <xdr:row>787</xdr:row>
      <xdr:rowOff>77289</xdr:rowOff>
    </xdr:from>
    <xdr:ext cx="540300" cy="547228"/>
    <xdr:pic>
      <xdr:nvPicPr>
        <xdr:cNvPr id="34" name="Immagine 33">
          <a:extLst>
            <a:ext uri="{FF2B5EF4-FFF2-40B4-BE49-F238E27FC236}">
              <a16:creationId xmlns:a16="http://schemas.microsoft.com/office/drawing/2014/main" id="{00000000-0008-0000-0600-00002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524500" y="155579718"/>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176892</xdr:colOff>
      <xdr:row>73</xdr:row>
      <xdr:rowOff>153573</xdr:rowOff>
    </xdr:from>
    <xdr:to>
      <xdr:col>6</xdr:col>
      <xdr:colOff>689271</xdr:colOff>
      <xdr:row>83</xdr:row>
      <xdr:rowOff>124281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176892" y="14128109"/>
          <a:ext cx="5819165" cy="1875708"/>
        </a:xfrm>
        <a:prstGeom prst="rect">
          <a:avLst/>
        </a:prstGeom>
        <a:ln w="228600" cap="sq" cmpd="thickThin">
          <a:solidFill>
            <a:srgbClr val="FF0000"/>
          </a:solidFill>
          <a:prstDash val="solid"/>
          <a:miter lim="800000"/>
        </a:ln>
        <a:effectLst>
          <a:innerShdw blurRad="76200">
            <a:srgbClr val="000000"/>
          </a:innerShdw>
        </a:effectLst>
      </xdr:spPr>
    </xdr:pic>
    <xdr:clientData/>
  </xdr:twoCellAnchor>
  <xdr:twoCellAnchor editAs="oneCell">
    <xdr:from>
      <xdr:col>9</xdr:col>
      <xdr:colOff>140137</xdr:colOff>
      <xdr:row>162</xdr:row>
      <xdr:rowOff>6305</xdr:rowOff>
    </xdr:from>
    <xdr:to>
      <xdr:col>19</xdr:col>
      <xdr:colOff>205827</xdr:colOff>
      <xdr:row>179</xdr:row>
      <xdr:rowOff>189810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a:stretch>
          <a:fillRect/>
        </a:stretch>
      </xdr:blipFill>
      <xdr:spPr>
        <a:xfrm>
          <a:off x="8268137" y="10157546"/>
          <a:ext cx="10068035" cy="3211173"/>
        </a:xfrm>
        <a:prstGeom prst="rect">
          <a:avLst/>
        </a:prstGeom>
        <a:ln w="38100" cap="sq">
          <a:solidFill>
            <a:srgbClr val="FF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34</xdr:col>
      <xdr:colOff>445282</xdr:colOff>
      <xdr:row>367</xdr:row>
      <xdr:rowOff>166008</xdr:rowOff>
    </xdr:from>
    <xdr:to>
      <xdr:col>49</xdr:col>
      <xdr:colOff>89349</xdr:colOff>
      <xdr:row>383</xdr:row>
      <xdr:rowOff>112455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4"/>
        <a:stretch>
          <a:fillRect/>
        </a:stretch>
      </xdr:blipFill>
      <xdr:spPr>
        <a:xfrm>
          <a:off x="29115532" y="73470408"/>
          <a:ext cx="8502317" cy="2994447"/>
        </a:xfrm>
        <a:prstGeom prst="rect">
          <a:avLst/>
        </a:prstGeom>
        <a:ln w="38100" cap="sq">
          <a:solidFill>
            <a:srgbClr val="FF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61057</xdr:colOff>
      <xdr:row>794</xdr:row>
      <xdr:rowOff>86178</xdr:rowOff>
    </xdr:from>
    <xdr:to>
      <xdr:col>14</xdr:col>
      <xdr:colOff>649793</xdr:colOff>
      <xdr:row>809</xdr:row>
      <xdr:rowOff>128186</xdr:rowOff>
    </xdr:to>
    <xdr:pic>
      <xdr:nvPicPr>
        <xdr:cNvPr id="35" name="Picture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a14:imgEffect>
                    <a14:sharpenSoften amount="50000"/>
                  </a14:imgEffect>
                </a14:imgLayer>
              </a14:imgProps>
            </a:ext>
          </a:extLst>
        </a:blip>
        <a:stretch>
          <a:fillRect/>
        </a:stretch>
      </xdr:blipFill>
      <xdr:spPr>
        <a:xfrm>
          <a:off x="5395057" y="94235511"/>
          <a:ext cx="6811736" cy="2899508"/>
        </a:xfrm>
        <a:prstGeom prst="rect">
          <a:avLst/>
        </a:prstGeom>
      </xdr:spPr>
    </xdr:pic>
    <xdr:clientData/>
  </xdr:twoCellAnchor>
  <xdr:twoCellAnchor editAs="oneCell">
    <xdr:from>
      <xdr:col>0</xdr:col>
      <xdr:colOff>141061</xdr:colOff>
      <xdr:row>478</xdr:row>
      <xdr:rowOff>169532</xdr:rowOff>
    </xdr:from>
    <xdr:to>
      <xdr:col>7</xdr:col>
      <xdr:colOff>79375</xdr:colOff>
      <xdr:row>485</xdr:row>
      <xdr:rowOff>81131</xdr:rowOff>
    </xdr:to>
    <xdr:pic>
      <xdr:nvPicPr>
        <xdr:cNvPr id="9" name="Immagin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41061" y="94609907"/>
          <a:ext cx="6161314" cy="1245099"/>
        </a:xfrm>
        <a:prstGeom prst="rect">
          <a:avLst/>
        </a:prstGeom>
      </xdr:spPr>
    </xdr:pic>
    <xdr:clientData/>
  </xdr:twoCellAnchor>
  <xdr:twoCellAnchor editAs="oneCell">
    <xdr:from>
      <xdr:col>0</xdr:col>
      <xdr:colOff>93437</xdr:colOff>
      <xdr:row>485</xdr:row>
      <xdr:rowOff>126999</xdr:rowOff>
    </xdr:from>
    <xdr:to>
      <xdr:col>7</xdr:col>
      <xdr:colOff>1589</xdr:colOff>
      <xdr:row>486</xdr:row>
      <xdr:rowOff>167535</xdr:rowOff>
    </xdr:to>
    <xdr:pic>
      <xdr:nvPicPr>
        <xdr:cNvPr id="10" name="Immagin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3437" y="95900874"/>
          <a:ext cx="6123215" cy="231036"/>
        </a:xfrm>
        <a:prstGeom prst="rect">
          <a:avLst/>
        </a:prstGeom>
      </xdr:spPr>
    </xdr:pic>
    <xdr:clientData/>
  </xdr:twoCellAnchor>
  <xdr:twoCellAnchor editAs="oneCell">
    <xdr:from>
      <xdr:col>7</xdr:col>
      <xdr:colOff>608241</xdr:colOff>
      <xdr:row>485</xdr:row>
      <xdr:rowOff>138338</xdr:rowOff>
    </xdr:from>
    <xdr:to>
      <xdr:col>14</xdr:col>
      <xdr:colOff>726169</xdr:colOff>
      <xdr:row>487</xdr:row>
      <xdr:rowOff>32439</xdr:rowOff>
    </xdr:to>
    <xdr:pic>
      <xdr:nvPicPr>
        <xdr:cNvPr id="12" name="Immagin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831241" y="95912213"/>
          <a:ext cx="6340928" cy="275101"/>
        </a:xfrm>
        <a:prstGeom prst="rect">
          <a:avLst/>
        </a:prstGeom>
      </xdr:spPr>
    </xdr:pic>
    <xdr:clientData/>
  </xdr:twoCellAnchor>
  <xdr:twoCellAnchor editAs="oneCell">
    <xdr:from>
      <xdr:col>7</xdr:col>
      <xdr:colOff>649062</xdr:colOff>
      <xdr:row>478</xdr:row>
      <xdr:rowOff>108858</xdr:rowOff>
    </xdr:from>
    <xdr:to>
      <xdr:col>14</xdr:col>
      <xdr:colOff>712562</xdr:colOff>
      <xdr:row>485</xdr:row>
      <xdr:rowOff>66452</xdr:rowOff>
    </xdr:to>
    <xdr:pic>
      <xdr:nvPicPr>
        <xdr:cNvPr id="13" name="Immagin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872062" y="94549233"/>
          <a:ext cx="6286500" cy="1291094"/>
        </a:xfrm>
        <a:prstGeom prst="rect">
          <a:avLst/>
        </a:prstGeom>
      </xdr:spPr>
    </xdr:pic>
    <xdr:clientData/>
  </xdr:twoCellAnchor>
  <xdr:twoCellAnchor editAs="oneCell">
    <xdr:from>
      <xdr:col>0</xdr:col>
      <xdr:colOff>324757</xdr:colOff>
      <xdr:row>494</xdr:row>
      <xdr:rowOff>158751</xdr:rowOff>
    </xdr:from>
    <xdr:to>
      <xdr:col>6</xdr:col>
      <xdr:colOff>811439</xdr:colOff>
      <xdr:row>496</xdr:row>
      <xdr:rowOff>17844</xdr:rowOff>
    </xdr:to>
    <xdr:pic>
      <xdr:nvPicPr>
        <xdr:cNvPr id="15" name="Immagine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24757" y="97647126"/>
          <a:ext cx="5820682" cy="240093"/>
        </a:xfrm>
        <a:prstGeom prst="rect">
          <a:avLst/>
        </a:prstGeom>
      </xdr:spPr>
    </xdr:pic>
    <xdr:clientData/>
  </xdr:twoCellAnchor>
  <xdr:twoCellAnchor editAs="oneCell">
    <xdr:from>
      <xdr:col>0</xdr:col>
      <xdr:colOff>279400</xdr:colOff>
      <xdr:row>488</xdr:row>
      <xdr:rowOff>93267</xdr:rowOff>
    </xdr:from>
    <xdr:to>
      <xdr:col>6</xdr:col>
      <xdr:colOff>766082</xdr:colOff>
      <xdr:row>494</xdr:row>
      <xdr:rowOff>97971</xdr:rowOff>
    </xdr:to>
    <xdr:pic>
      <xdr:nvPicPr>
        <xdr:cNvPr id="16" name="Immagin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79400" y="96438642"/>
          <a:ext cx="5820682" cy="1147704"/>
        </a:xfrm>
        <a:prstGeom prst="rect">
          <a:avLst/>
        </a:prstGeom>
      </xdr:spPr>
    </xdr:pic>
    <xdr:clientData/>
  </xdr:twoCellAnchor>
  <xdr:twoCellAnchor editAs="oneCell">
    <xdr:from>
      <xdr:col>0</xdr:col>
      <xdr:colOff>571500</xdr:colOff>
      <xdr:row>474</xdr:row>
      <xdr:rowOff>91445</xdr:rowOff>
    </xdr:from>
    <xdr:to>
      <xdr:col>6</xdr:col>
      <xdr:colOff>838552</xdr:colOff>
      <xdr:row>476</xdr:row>
      <xdr:rowOff>95250</xdr:rowOff>
    </xdr:to>
    <xdr:pic>
      <xdr:nvPicPr>
        <xdr:cNvPr id="2055" name="Picture 7">
          <a:extLst>
            <a:ext uri="{FF2B5EF4-FFF2-40B4-BE49-F238E27FC236}">
              <a16:creationId xmlns:a16="http://schemas.microsoft.com/office/drawing/2014/main" id="{00000000-0008-0000-0600-000007080000}"/>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571500" y="93769820"/>
          <a:ext cx="5601052" cy="384805"/>
        </a:xfrm>
        <a:prstGeom prst="rect">
          <a:avLst/>
        </a:prstGeom>
        <a:noFill/>
        <a:ln w="1">
          <a:noFill/>
          <a:miter lim="800000"/>
          <a:headEnd/>
          <a:tailEnd type="none" w="med" len="med"/>
        </a:ln>
        <a:effectLst/>
      </xdr:spPr>
    </xdr:pic>
    <xdr:clientData/>
  </xdr:twoCellAnchor>
  <xdr:twoCellAnchor editAs="oneCell">
    <xdr:from>
      <xdr:col>0</xdr:col>
      <xdr:colOff>730249</xdr:colOff>
      <xdr:row>476</xdr:row>
      <xdr:rowOff>158751</xdr:rowOff>
    </xdr:from>
    <xdr:to>
      <xdr:col>6</xdr:col>
      <xdr:colOff>825500</xdr:colOff>
      <xdr:row>477</xdr:row>
      <xdr:rowOff>184557</xdr:rowOff>
    </xdr:to>
    <xdr:pic>
      <xdr:nvPicPr>
        <xdr:cNvPr id="2056" name="Picture 8">
          <a:extLst>
            <a:ext uri="{FF2B5EF4-FFF2-40B4-BE49-F238E27FC236}">
              <a16:creationId xmlns:a16="http://schemas.microsoft.com/office/drawing/2014/main" id="{00000000-0008-0000-0600-000008080000}"/>
            </a:ext>
          </a:extLst>
        </xdr:cNvPr>
        <xdr:cNvPicPr>
          <a:picLocks noChangeAspect="1" noChangeArrowheads="1"/>
        </xdr:cNvPicPr>
      </xdr:nvPicPr>
      <xdr:blipFill>
        <a:blip xmlns:r="http://schemas.openxmlformats.org/officeDocument/2006/relationships" r:embed="rId13"/>
        <a:srcRect/>
        <a:stretch>
          <a:fillRect/>
        </a:stretch>
      </xdr:blipFill>
      <xdr:spPr bwMode="auto">
        <a:xfrm>
          <a:off x="730249" y="94218126"/>
          <a:ext cx="5429251" cy="216306"/>
        </a:xfrm>
        <a:prstGeom prst="rect">
          <a:avLst/>
        </a:prstGeom>
        <a:noFill/>
        <a:ln w="1">
          <a:noFill/>
          <a:miter lim="800000"/>
          <a:headEnd/>
          <a:tailEnd type="none" w="med" len="med"/>
        </a:ln>
        <a:effectLst/>
      </xdr:spPr>
    </xdr:pic>
    <xdr:clientData/>
  </xdr:twoCellAnchor>
  <xdr:twoCellAnchor editAs="oneCell">
    <xdr:from>
      <xdr:col>7</xdr:col>
      <xdr:colOff>523874</xdr:colOff>
      <xdr:row>488</xdr:row>
      <xdr:rowOff>31750</xdr:rowOff>
    </xdr:from>
    <xdr:to>
      <xdr:col>14</xdr:col>
      <xdr:colOff>825499</xdr:colOff>
      <xdr:row>494</xdr:row>
      <xdr:rowOff>157514</xdr:rowOff>
    </xdr:to>
    <xdr:pic>
      <xdr:nvPicPr>
        <xdr:cNvPr id="2057" name="Picture 9">
          <a:extLst>
            <a:ext uri="{FF2B5EF4-FFF2-40B4-BE49-F238E27FC236}">
              <a16:creationId xmlns:a16="http://schemas.microsoft.com/office/drawing/2014/main" id="{00000000-0008-0000-0600-000009080000}"/>
            </a:ext>
          </a:extLst>
        </xdr:cNvPr>
        <xdr:cNvPicPr>
          <a:picLocks noChangeAspect="1" noChangeArrowheads="1"/>
        </xdr:cNvPicPr>
      </xdr:nvPicPr>
      <xdr:blipFill>
        <a:blip xmlns:r="http://schemas.openxmlformats.org/officeDocument/2006/relationships" r:embed="rId14"/>
        <a:srcRect t="11121"/>
        <a:stretch>
          <a:fillRect/>
        </a:stretch>
      </xdr:blipFill>
      <xdr:spPr bwMode="auto">
        <a:xfrm>
          <a:off x="6746874" y="96377125"/>
          <a:ext cx="6524625" cy="1268764"/>
        </a:xfrm>
        <a:prstGeom prst="rect">
          <a:avLst/>
        </a:prstGeom>
        <a:noFill/>
        <a:ln w="1">
          <a:noFill/>
          <a:miter lim="800000"/>
          <a:headEnd/>
          <a:tailEnd type="none" w="med" len="med"/>
        </a:ln>
        <a:effectLst/>
      </xdr:spPr>
    </xdr:pic>
    <xdr:clientData/>
  </xdr:twoCellAnchor>
  <xdr:twoCellAnchor editAs="oneCell">
    <xdr:from>
      <xdr:col>7</xdr:col>
      <xdr:colOff>682625</xdr:colOff>
      <xdr:row>495</xdr:row>
      <xdr:rowOff>15875</xdr:rowOff>
    </xdr:from>
    <xdr:to>
      <xdr:col>14</xdr:col>
      <xdr:colOff>714375</xdr:colOff>
      <xdr:row>496</xdr:row>
      <xdr:rowOff>55389</xdr:rowOff>
    </xdr:to>
    <xdr:pic>
      <xdr:nvPicPr>
        <xdr:cNvPr id="2058" name="Picture 10">
          <a:extLst>
            <a:ext uri="{FF2B5EF4-FFF2-40B4-BE49-F238E27FC236}">
              <a16:creationId xmlns:a16="http://schemas.microsoft.com/office/drawing/2014/main" id="{00000000-0008-0000-0600-00000A080000}"/>
            </a:ext>
          </a:extLst>
        </xdr:cNvPr>
        <xdr:cNvPicPr>
          <a:picLocks noChangeAspect="1" noChangeArrowheads="1"/>
        </xdr:cNvPicPr>
      </xdr:nvPicPr>
      <xdr:blipFill>
        <a:blip xmlns:r="http://schemas.openxmlformats.org/officeDocument/2006/relationships" r:embed="rId15"/>
        <a:srcRect/>
        <a:stretch>
          <a:fillRect/>
        </a:stretch>
      </xdr:blipFill>
      <xdr:spPr bwMode="auto">
        <a:xfrm>
          <a:off x="6905625" y="97694750"/>
          <a:ext cx="6254750" cy="230014"/>
        </a:xfrm>
        <a:prstGeom prst="rect">
          <a:avLst/>
        </a:prstGeom>
        <a:noFill/>
        <a:ln w="1">
          <a:noFill/>
          <a:miter lim="800000"/>
          <a:headEnd/>
          <a:tailEnd type="none" w="med" len="med"/>
        </a:ln>
        <a:effectLst/>
      </xdr:spPr>
    </xdr:pic>
    <xdr:clientData/>
  </xdr:twoCellAnchor>
  <xdr:twoCellAnchor editAs="oneCell">
    <xdr:from>
      <xdr:col>15</xdr:col>
      <xdr:colOff>539750</xdr:colOff>
      <xdr:row>478</xdr:row>
      <xdr:rowOff>158750</xdr:rowOff>
    </xdr:from>
    <xdr:to>
      <xdr:col>22</xdr:col>
      <xdr:colOff>815527</xdr:colOff>
      <xdr:row>485</xdr:row>
      <xdr:rowOff>0</xdr:rowOff>
    </xdr:to>
    <xdr:pic>
      <xdr:nvPicPr>
        <xdr:cNvPr id="2059" name="Picture 11">
          <a:extLst>
            <a:ext uri="{FF2B5EF4-FFF2-40B4-BE49-F238E27FC236}">
              <a16:creationId xmlns:a16="http://schemas.microsoft.com/office/drawing/2014/main" id="{00000000-0008-0000-0600-00000B080000}"/>
            </a:ext>
          </a:extLst>
        </xdr:cNvPr>
        <xdr:cNvPicPr>
          <a:picLocks noChangeAspect="1" noChangeArrowheads="1"/>
        </xdr:cNvPicPr>
      </xdr:nvPicPr>
      <xdr:blipFill>
        <a:blip xmlns:r="http://schemas.openxmlformats.org/officeDocument/2006/relationships" r:embed="rId16"/>
        <a:srcRect/>
        <a:stretch>
          <a:fillRect/>
        </a:stretch>
      </xdr:blipFill>
      <xdr:spPr bwMode="auto">
        <a:xfrm>
          <a:off x="13874750" y="94599125"/>
          <a:ext cx="5911402" cy="1174750"/>
        </a:xfrm>
        <a:prstGeom prst="rect">
          <a:avLst/>
        </a:prstGeom>
        <a:noFill/>
        <a:ln w="1">
          <a:noFill/>
          <a:miter lim="800000"/>
          <a:headEnd/>
          <a:tailEnd type="none" w="med" len="med"/>
        </a:ln>
        <a:effectLst/>
      </xdr:spPr>
    </xdr:pic>
    <xdr:clientData/>
  </xdr:twoCellAnchor>
  <xdr:twoCellAnchor editAs="oneCell">
    <xdr:from>
      <xdr:col>15</xdr:col>
      <xdr:colOff>619125</xdr:colOff>
      <xdr:row>485</xdr:row>
      <xdr:rowOff>0</xdr:rowOff>
    </xdr:from>
    <xdr:to>
      <xdr:col>22</xdr:col>
      <xdr:colOff>752474</xdr:colOff>
      <xdr:row>486</xdr:row>
      <xdr:rowOff>46509</xdr:rowOff>
    </xdr:to>
    <xdr:pic>
      <xdr:nvPicPr>
        <xdr:cNvPr id="2060" name="Picture 12">
          <a:extLst>
            <a:ext uri="{FF2B5EF4-FFF2-40B4-BE49-F238E27FC236}">
              <a16:creationId xmlns:a16="http://schemas.microsoft.com/office/drawing/2014/main" id="{00000000-0008-0000-0600-00000C080000}"/>
            </a:ext>
          </a:extLst>
        </xdr:cNvPr>
        <xdr:cNvPicPr>
          <a:picLocks noChangeAspect="1" noChangeArrowheads="1"/>
        </xdr:cNvPicPr>
      </xdr:nvPicPr>
      <xdr:blipFill>
        <a:blip xmlns:r="http://schemas.openxmlformats.org/officeDocument/2006/relationships" r:embed="rId17"/>
        <a:srcRect/>
        <a:stretch>
          <a:fillRect/>
        </a:stretch>
      </xdr:blipFill>
      <xdr:spPr bwMode="auto">
        <a:xfrm>
          <a:off x="13954125" y="95773875"/>
          <a:ext cx="5768974" cy="237009"/>
        </a:xfrm>
        <a:prstGeom prst="rect">
          <a:avLst/>
        </a:prstGeom>
        <a:noFill/>
        <a:ln w="1">
          <a:noFill/>
          <a:miter lim="800000"/>
          <a:headEnd/>
          <a:tailEnd type="none" w="med" len="med"/>
        </a:ln>
        <a:effectLst/>
      </xdr:spPr>
    </xdr:pic>
    <xdr:clientData/>
  </xdr:twoCellAnchor>
  <xdr:twoCellAnchor>
    <xdr:from>
      <xdr:col>12</xdr:col>
      <xdr:colOff>285750</xdr:colOff>
      <xdr:row>84</xdr:row>
      <xdr:rowOff>114300</xdr:rowOff>
    </xdr:from>
    <xdr:to>
      <xdr:col>12</xdr:col>
      <xdr:colOff>654459</xdr:colOff>
      <xdr:row>88</xdr:row>
      <xdr:rowOff>51093</xdr:rowOff>
    </xdr:to>
    <xdr:sp macro="" textlink="">
      <xdr:nvSpPr>
        <xdr:cNvPr id="26" name="Freccia in giù 25">
          <a:extLst>
            <a:ext uri="{FF2B5EF4-FFF2-40B4-BE49-F238E27FC236}">
              <a16:creationId xmlns:a16="http://schemas.microsoft.com/office/drawing/2014/main" id="{00000000-0008-0000-0600-00001A000000}"/>
            </a:ext>
          </a:extLst>
        </xdr:cNvPr>
        <xdr:cNvSpPr/>
      </xdr:nvSpPr>
      <xdr:spPr>
        <a:xfrm>
          <a:off x="11029950" y="16192500"/>
          <a:ext cx="368709" cy="698793"/>
        </a:xfrm>
        <a:prstGeom prst="down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endParaRPr lang="it-IT" sz="1100"/>
        </a:p>
      </xdr:txBody>
    </xdr:sp>
    <xdr:clientData/>
  </xdr:twoCellAnchor>
  <xdr:twoCellAnchor>
    <xdr:from>
      <xdr:col>6</xdr:col>
      <xdr:colOff>122465</xdr:colOff>
      <xdr:row>802</xdr:row>
      <xdr:rowOff>27214</xdr:rowOff>
    </xdr:from>
    <xdr:to>
      <xdr:col>7</xdr:col>
      <xdr:colOff>594238</xdr:colOff>
      <xdr:row>803</xdr:row>
      <xdr:rowOff>79448</xdr:rowOff>
    </xdr:to>
    <xdr:sp macro="" textlink="">
      <xdr:nvSpPr>
        <xdr:cNvPr id="27" name="Freccia a destra 26">
          <a:extLst>
            <a:ext uri="{FF2B5EF4-FFF2-40B4-BE49-F238E27FC236}">
              <a16:creationId xmlns:a16="http://schemas.microsoft.com/office/drawing/2014/main" id="{00000000-0008-0000-0600-00001B000000}"/>
            </a:ext>
          </a:extLst>
        </xdr:cNvPr>
        <xdr:cNvSpPr/>
      </xdr:nvSpPr>
      <xdr:spPr>
        <a:xfrm>
          <a:off x="5429251" y="159679821"/>
          <a:ext cx="1356237" cy="242734"/>
        </a:xfrm>
        <a:prstGeom prst="rightArrow">
          <a:avLst/>
        </a:prstGeom>
        <a:solidFill>
          <a:srgbClr val="FFC000"/>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it-IT"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5</xdr:col>
      <xdr:colOff>190500</xdr:colOff>
      <xdr:row>0</xdr:row>
      <xdr:rowOff>0</xdr:rowOff>
    </xdr:from>
    <xdr:ext cx="540300" cy="547228"/>
    <xdr:pic>
      <xdr:nvPicPr>
        <xdr:cNvPr id="4" name="Immagine 33">
          <a:extLst>
            <a:ext uri="{FF2B5EF4-FFF2-40B4-BE49-F238E27FC236}">
              <a16:creationId xmlns:a16="http://schemas.microsoft.com/office/drawing/2014/main" id="{00000000-0008-0000-07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32375" y="0"/>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222250</xdr:colOff>
      <xdr:row>109</xdr:row>
      <xdr:rowOff>47625</xdr:rowOff>
    </xdr:from>
    <xdr:ext cx="540300" cy="547228"/>
    <xdr:pic>
      <xdr:nvPicPr>
        <xdr:cNvPr id="7" name="Immagine 33">
          <a:extLst>
            <a:ext uri="{FF2B5EF4-FFF2-40B4-BE49-F238E27FC236}">
              <a16:creationId xmlns:a16="http://schemas.microsoft.com/office/drawing/2014/main" id="{00000000-0008-0000-07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64125" y="7016750"/>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466045</xdr:colOff>
      <xdr:row>10</xdr:row>
      <xdr:rowOff>1178</xdr:rowOff>
    </xdr:from>
    <xdr:to>
      <xdr:col>13</xdr:col>
      <xdr:colOff>329521</xdr:colOff>
      <xdr:row>12</xdr:row>
      <xdr:rowOff>96428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8902474" y="1919785"/>
          <a:ext cx="2394404" cy="476250"/>
        </a:xfrm>
        <a:prstGeom prst="rect">
          <a:avLst/>
        </a:prstGeom>
      </xdr:spPr>
    </xdr:pic>
    <xdr:clientData/>
  </xdr:twoCellAnchor>
  <xdr:twoCellAnchor editAs="oneCell">
    <xdr:from>
      <xdr:col>10</xdr:col>
      <xdr:colOff>477950</xdr:colOff>
      <xdr:row>12</xdr:row>
      <xdr:rowOff>108334</xdr:rowOff>
    </xdr:from>
    <xdr:to>
      <xdr:col>20</xdr:col>
      <xdr:colOff>19843</xdr:colOff>
      <xdr:row>22</xdr:row>
      <xdr:rowOff>187709</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3"/>
        <a:stretch>
          <a:fillRect/>
        </a:stretch>
      </xdr:blipFill>
      <xdr:spPr>
        <a:xfrm>
          <a:off x="8914379" y="2407941"/>
          <a:ext cx="6685643" cy="1984375"/>
        </a:xfrm>
        <a:prstGeom prst="rect">
          <a:avLst/>
        </a:prstGeom>
      </xdr:spPr>
    </xdr:pic>
    <xdr:clientData/>
  </xdr:twoCellAnchor>
  <xdr:twoCellAnchor editAs="oneCell">
    <xdr:from>
      <xdr:col>14</xdr:col>
      <xdr:colOff>123038</xdr:colOff>
      <xdr:row>129</xdr:row>
      <xdr:rowOff>19844</xdr:rowOff>
    </xdr:from>
    <xdr:to>
      <xdr:col>20</xdr:col>
      <xdr:colOff>473875</xdr:colOff>
      <xdr:row>133</xdr:row>
      <xdr:rowOff>96044</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4"/>
        <a:stretch>
          <a:fillRect/>
        </a:stretch>
      </xdr:blipFill>
      <xdr:spPr>
        <a:xfrm>
          <a:off x="11902288" y="24800719"/>
          <a:ext cx="4129087" cy="838200"/>
        </a:xfrm>
        <a:prstGeom prst="rect">
          <a:avLst/>
        </a:prstGeom>
      </xdr:spPr>
    </xdr:pic>
    <xdr:clientData/>
  </xdr:twoCellAnchor>
  <xdr:twoCellAnchor editAs="oneCell">
    <xdr:from>
      <xdr:col>14</xdr:col>
      <xdr:colOff>166687</xdr:colOff>
      <xdr:row>133</xdr:row>
      <xdr:rowOff>123031</xdr:rowOff>
    </xdr:from>
    <xdr:to>
      <xdr:col>24</xdr:col>
      <xdr:colOff>282574</xdr:colOff>
      <xdr:row>138</xdr:row>
      <xdr:rowOff>50006</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5"/>
        <a:stretch>
          <a:fillRect/>
        </a:stretch>
      </xdr:blipFill>
      <xdr:spPr>
        <a:xfrm>
          <a:off x="11945937" y="25665906"/>
          <a:ext cx="6243637" cy="879475"/>
        </a:xfrm>
        <a:prstGeom prst="rect">
          <a:avLst/>
        </a:prstGeom>
      </xdr:spPr>
    </xdr:pic>
    <xdr:clientData/>
  </xdr:twoCellAnchor>
  <xdr:twoCellAnchor editAs="oneCell">
    <xdr:from>
      <xdr:col>14</xdr:col>
      <xdr:colOff>194468</xdr:colOff>
      <xdr:row>139</xdr:row>
      <xdr:rowOff>154780</xdr:rowOff>
    </xdr:from>
    <xdr:to>
      <xdr:col>24</xdr:col>
      <xdr:colOff>323055</xdr:colOff>
      <xdr:row>142</xdr:row>
      <xdr:rowOff>126205</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6"/>
        <a:stretch>
          <a:fillRect/>
        </a:stretch>
      </xdr:blipFill>
      <xdr:spPr>
        <a:xfrm>
          <a:off x="11973718" y="26840655"/>
          <a:ext cx="6256337" cy="542925"/>
        </a:xfrm>
        <a:prstGeom prst="rect">
          <a:avLst/>
        </a:prstGeom>
      </xdr:spPr>
    </xdr:pic>
    <xdr:clientData/>
  </xdr:twoCellAnchor>
  <xdr:twoCellAnchor editAs="oneCell">
    <xdr:from>
      <xdr:col>14</xdr:col>
      <xdr:colOff>210343</xdr:colOff>
      <xdr:row>142</xdr:row>
      <xdr:rowOff>130970</xdr:rowOff>
    </xdr:from>
    <xdr:to>
      <xdr:col>22</xdr:col>
      <xdr:colOff>205580</xdr:colOff>
      <xdr:row>144</xdr:row>
      <xdr:rowOff>178595</xdr:rowOff>
    </xdr:to>
    <xdr:pic>
      <xdr:nvPicPr>
        <xdr:cNvPr id="14" name="Picture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7"/>
        <a:stretch>
          <a:fillRect/>
        </a:stretch>
      </xdr:blipFill>
      <xdr:spPr>
        <a:xfrm>
          <a:off x="11989593" y="27388345"/>
          <a:ext cx="4948237" cy="428625"/>
        </a:xfrm>
        <a:prstGeom prst="rect">
          <a:avLst/>
        </a:prstGeom>
      </xdr:spPr>
    </xdr:pic>
    <xdr:clientData/>
  </xdr:twoCellAnchor>
  <xdr:twoCellAnchor editAs="oneCell">
    <xdr:from>
      <xdr:col>14</xdr:col>
      <xdr:colOff>210345</xdr:colOff>
      <xdr:row>146</xdr:row>
      <xdr:rowOff>166687</xdr:rowOff>
    </xdr:from>
    <xdr:to>
      <xdr:col>24</xdr:col>
      <xdr:colOff>278607</xdr:colOff>
      <xdr:row>148</xdr:row>
      <xdr:rowOff>106363</xdr:rowOff>
    </xdr:to>
    <xdr:pic>
      <xdr:nvPicPr>
        <xdr:cNvPr id="15" name="Picture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8"/>
        <a:stretch>
          <a:fillRect/>
        </a:stretch>
      </xdr:blipFill>
      <xdr:spPr>
        <a:xfrm>
          <a:off x="11989595" y="28186062"/>
          <a:ext cx="6196012" cy="320676"/>
        </a:xfrm>
        <a:prstGeom prst="rect">
          <a:avLst/>
        </a:prstGeom>
      </xdr:spPr>
    </xdr:pic>
    <xdr:clientData/>
  </xdr:twoCellAnchor>
  <xdr:twoCellAnchor editAs="oneCell">
    <xdr:from>
      <xdr:col>14</xdr:col>
      <xdr:colOff>214313</xdr:colOff>
      <xdr:row>148</xdr:row>
      <xdr:rowOff>130968</xdr:rowOff>
    </xdr:from>
    <xdr:to>
      <xdr:col>24</xdr:col>
      <xdr:colOff>368300</xdr:colOff>
      <xdr:row>153</xdr:row>
      <xdr:rowOff>33336</xdr:rowOff>
    </xdr:to>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9"/>
        <a:stretch>
          <a:fillRect/>
        </a:stretch>
      </xdr:blipFill>
      <xdr:spPr>
        <a:xfrm>
          <a:off x="11993563" y="28531343"/>
          <a:ext cx="6281737" cy="854868"/>
        </a:xfrm>
        <a:prstGeom prst="rect">
          <a:avLst/>
        </a:prstGeom>
      </xdr:spPr>
    </xdr:pic>
    <xdr:clientData/>
  </xdr:twoCellAnchor>
  <xdr:twoCellAnchor editAs="oneCell">
    <xdr:from>
      <xdr:col>10</xdr:col>
      <xdr:colOff>466044</xdr:colOff>
      <xdr:row>5</xdr:row>
      <xdr:rowOff>151946</xdr:rowOff>
    </xdr:from>
    <xdr:to>
      <xdr:col>19</xdr:col>
      <xdr:colOff>222477</xdr:colOff>
      <xdr:row>10</xdr:row>
      <xdr:rowOff>31296</xdr:rowOff>
    </xdr:to>
    <xdr:pic>
      <xdr:nvPicPr>
        <xdr:cNvPr id="17" name="Picture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5"/>
        <a:stretch>
          <a:fillRect/>
        </a:stretch>
      </xdr:blipFill>
      <xdr:spPr>
        <a:xfrm>
          <a:off x="8902473" y="1118053"/>
          <a:ext cx="6315075" cy="831850"/>
        </a:xfrm>
        <a:prstGeom prst="rect">
          <a:avLst/>
        </a:prstGeom>
      </xdr:spPr>
    </xdr:pic>
    <xdr:clientData/>
  </xdr:twoCellAnchor>
  <xdr:twoCellAnchor editAs="oneCell">
    <xdr:from>
      <xdr:col>20</xdr:col>
      <xdr:colOff>150813</xdr:colOff>
      <xdr:row>6</xdr:row>
      <xdr:rowOff>9071</xdr:rowOff>
    </xdr:from>
    <xdr:to>
      <xdr:col>31</xdr:col>
      <xdr:colOff>425450</xdr:colOff>
      <xdr:row>21</xdr:row>
      <xdr:rowOff>73758</xdr:rowOff>
    </xdr:to>
    <xdr:pic>
      <xdr:nvPicPr>
        <xdr:cNvPr id="18" name="Picture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10"/>
        <a:stretch>
          <a:fillRect/>
        </a:stretch>
      </xdr:blipFill>
      <xdr:spPr>
        <a:xfrm>
          <a:off x="15730992" y="1165678"/>
          <a:ext cx="6710815" cy="29221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5</xdr:col>
      <xdr:colOff>227725</xdr:colOff>
      <xdr:row>0</xdr:row>
      <xdr:rowOff>43794</xdr:rowOff>
    </xdr:from>
    <xdr:ext cx="540300" cy="547228"/>
    <xdr:pic>
      <xdr:nvPicPr>
        <xdr:cNvPr id="6" name="Immagine 33">
          <a:extLst>
            <a:ext uri="{FF2B5EF4-FFF2-40B4-BE49-F238E27FC236}">
              <a16:creationId xmlns:a16="http://schemas.microsoft.com/office/drawing/2014/main" id="{00000000-0008-0000-08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44966" y="43794"/>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227724</xdr:colOff>
      <xdr:row>73</xdr:row>
      <xdr:rowOff>52552</xdr:rowOff>
    </xdr:from>
    <xdr:ext cx="540300" cy="547228"/>
    <xdr:pic>
      <xdr:nvPicPr>
        <xdr:cNvPr id="7" name="Immagine 33">
          <a:extLst>
            <a:ext uri="{FF2B5EF4-FFF2-40B4-BE49-F238E27FC236}">
              <a16:creationId xmlns:a16="http://schemas.microsoft.com/office/drawing/2014/main" id="{00000000-0008-0000-08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07" t="8088" r="10838" b="8819"/>
        <a:stretch/>
      </xdr:blipFill>
      <xdr:spPr bwMode="auto">
        <a:xfrm>
          <a:off x="5044965" y="6052207"/>
          <a:ext cx="540300" cy="547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62953</xdr:colOff>
      <xdr:row>13</xdr:row>
      <xdr:rowOff>63526</xdr:rowOff>
    </xdr:from>
    <xdr:to>
      <xdr:col>14</xdr:col>
      <xdr:colOff>665108</xdr:colOff>
      <xdr:row>15</xdr:row>
      <xdr:rowOff>97247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9953078" y="2667026"/>
          <a:ext cx="3126280" cy="414721"/>
        </a:xfrm>
        <a:prstGeom prst="rect">
          <a:avLst/>
        </a:prstGeom>
      </xdr:spPr>
    </xdr:pic>
    <xdr:clientData/>
  </xdr:twoCellAnchor>
  <xdr:twoCellAnchor editAs="oneCell">
    <xdr:from>
      <xdr:col>11</xdr:col>
      <xdr:colOff>97987</xdr:colOff>
      <xdr:row>16</xdr:row>
      <xdr:rowOff>4405</xdr:rowOff>
    </xdr:from>
    <xdr:to>
      <xdr:col>20</xdr:col>
      <xdr:colOff>533291</xdr:colOff>
      <xdr:row>24</xdr:row>
      <xdr:rowOff>143667</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9988112" y="3179405"/>
          <a:ext cx="6737679" cy="1663262"/>
        </a:xfrm>
        <a:prstGeom prst="rect">
          <a:avLst/>
        </a:prstGeom>
      </xdr:spPr>
    </xdr:pic>
    <xdr:clientData/>
  </xdr:twoCellAnchor>
  <xdr:twoCellAnchor editAs="oneCell">
    <xdr:from>
      <xdr:col>14</xdr:col>
      <xdr:colOff>244329</xdr:colOff>
      <xdr:row>79</xdr:row>
      <xdr:rowOff>97805</xdr:rowOff>
    </xdr:from>
    <xdr:to>
      <xdr:col>18</xdr:col>
      <xdr:colOff>414647</xdr:colOff>
      <xdr:row>81</xdr:row>
      <xdr:rowOff>177071</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4"/>
        <a:stretch>
          <a:fillRect/>
        </a:stretch>
      </xdr:blipFill>
      <xdr:spPr>
        <a:xfrm>
          <a:off x="12658579" y="20354305"/>
          <a:ext cx="2773818" cy="460266"/>
        </a:xfrm>
        <a:prstGeom prst="rect">
          <a:avLst/>
        </a:prstGeom>
      </xdr:spPr>
    </xdr:pic>
    <xdr:clientData/>
  </xdr:twoCellAnchor>
  <xdr:twoCellAnchor editAs="oneCell">
    <xdr:from>
      <xdr:col>14</xdr:col>
      <xdr:colOff>349797</xdr:colOff>
      <xdr:row>82</xdr:row>
      <xdr:rowOff>31750</xdr:rowOff>
    </xdr:from>
    <xdr:to>
      <xdr:col>24</xdr:col>
      <xdr:colOff>512233</xdr:colOff>
      <xdr:row>86</xdr:row>
      <xdr:rowOff>67661</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5"/>
        <a:stretch>
          <a:fillRect/>
        </a:stretch>
      </xdr:blipFill>
      <xdr:spPr>
        <a:xfrm>
          <a:off x="12764047" y="20859750"/>
          <a:ext cx="6290186" cy="797911"/>
        </a:xfrm>
        <a:prstGeom prst="rect">
          <a:avLst/>
        </a:prstGeom>
      </xdr:spPr>
    </xdr:pic>
    <xdr:clientData/>
  </xdr:twoCellAnchor>
  <xdr:twoCellAnchor editAs="oneCell">
    <xdr:from>
      <xdr:col>11</xdr:col>
      <xdr:colOff>150540</xdr:colOff>
      <xdr:row>9</xdr:row>
      <xdr:rowOff>81018</xdr:rowOff>
    </xdr:from>
    <xdr:to>
      <xdr:col>20</xdr:col>
      <xdr:colOff>177582</xdr:colOff>
      <xdr:row>13</xdr:row>
      <xdr:rowOff>49049</xdr:rowOff>
    </xdr:to>
    <xdr:pic>
      <xdr:nvPicPr>
        <xdr:cNvPr id="10" name="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5"/>
        <a:stretch>
          <a:fillRect/>
        </a:stretch>
      </xdr:blipFill>
      <xdr:spPr>
        <a:xfrm>
          <a:off x="10040665" y="1922518"/>
          <a:ext cx="6329417" cy="730031"/>
        </a:xfrm>
        <a:prstGeom prst="rect">
          <a:avLst/>
        </a:prstGeom>
      </xdr:spPr>
    </xdr:pic>
    <xdr:clientData/>
  </xdr:twoCellAnchor>
  <xdr:twoCellAnchor editAs="oneCell">
    <xdr:from>
      <xdr:col>14</xdr:col>
      <xdr:colOff>342498</xdr:colOff>
      <xdr:row>86</xdr:row>
      <xdr:rowOff>20072</xdr:rowOff>
    </xdr:from>
    <xdr:to>
      <xdr:col>24</xdr:col>
      <xdr:colOff>504934</xdr:colOff>
      <xdr:row>88</xdr:row>
      <xdr:rowOff>154954</xdr:rowOff>
    </xdr:to>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6"/>
        <a:stretch>
          <a:fillRect/>
        </a:stretch>
      </xdr:blipFill>
      <xdr:spPr>
        <a:xfrm>
          <a:off x="12756748" y="21610072"/>
          <a:ext cx="6290186" cy="515882"/>
        </a:xfrm>
        <a:prstGeom prst="rect">
          <a:avLst/>
        </a:prstGeom>
      </xdr:spPr>
    </xdr:pic>
    <xdr:clientData/>
  </xdr:twoCellAnchor>
  <xdr:twoCellAnchor editAs="oneCell">
    <xdr:from>
      <xdr:col>14</xdr:col>
      <xdr:colOff>397423</xdr:colOff>
      <xdr:row>88</xdr:row>
      <xdr:rowOff>157654</xdr:rowOff>
    </xdr:from>
    <xdr:to>
      <xdr:col>22</xdr:col>
      <xdr:colOff>275679</xdr:colOff>
      <xdr:row>90</xdr:row>
      <xdr:rowOff>150210</xdr:rowOff>
    </xdr:to>
    <xdr:pic>
      <xdr:nvPicPr>
        <xdr:cNvPr id="12" name="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7"/>
        <a:stretch>
          <a:fillRect/>
        </a:stretch>
      </xdr:blipFill>
      <xdr:spPr>
        <a:xfrm>
          <a:off x="12811673" y="22128654"/>
          <a:ext cx="4831256" cy="373556"/>
        </a:xfrm>
        <a:prstGeom prst="rect">
          <a:avLst/>
        </a:prstGeom>
      </xdr:spPr>
    </xdr:pic>
    <xdr:clientData/>
  </xdr:twoCellAnchor>
  <xdr:twoCellAnchor editAs="oneCell">
    <xdr:from>
      <xdr:col>14</xdr:col>
      <xdr:colOff>409831</xdr:colOff>
      <xdr:row>90</xdr:row>
      <xdr:rowOff>158750</xdr:rowOff>
    </xdr:from>
    <xdr:to>
      <xdr:col>20</xdr:col>
      <xdr:colOff>111054</xdr:colOff>
      <xdr:row>92</xdr:row>
      <xdr:rowOff>110578</xdr:rowOff>
    </xdr:to>
    <xdr:pic>
      <xdr:nvPicPr>
        <xdr:cNvPr id="13" name="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8"/>
        <a:stretch>
          <a:fillRect/>
        </a:stretch>
      </xdr:blipFill>
      <xdr:spPr>
        <a:xfrm>
          <a:off x="12824081" y="22510750"/>
          <a:ext cx="3479473" cy="3328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Roberto%2001/Dropbox/DICAAR/01%20DIDATTICA/01%20Corso%20Impianti%202016_17/Materiale%20vario/foglio%20di%20calcolo/Misure%20di%20trasmittanza/roundcube/Fogli%20di%20calcolo_Energetica/PROGETTO%20ENERGETICA%20DEGLI%20EDIFICI/prova%20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ercitazione%20termofisica%202019%20-%20(SONDR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ar/Downloads/nuova%20esercitazione/18_03_30_Foglio%20semplificato%20fabbisogno%20con%20riscaldam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Dati"/>
      <sheetName val="2.Stratigrafie"/>
      <sheetName val="Hd"/>
    </sheetNames>
    <sheetDataSet>
      <sheetData sheetId="0" refreshError="1"/>
      <sheetData sheetId="1">
        <row r="10">
          <cell r="E10">
            <v>0.12</v>
          </cell>
          <cell r="G10">
            <v>0.15</v>
          </cell>
        </row>
        <row r="11">
          <cell r="E11">
            <v>1.4999999999999999E-2</v>
          </cell>
          <cell r="G11">
            <v>0.17</v>
          </cell>
        </row>
        <row r="12">
          <cell r="E12">
            <v>0.04</v>
          </cell>
          <cell r="G12">
            <v>0.11</v>
          </cell>
        </row>
        <row r="13">
          <cell r="E13">
            <v>1.4999999999999999E-2</v>
          </cell>
          <cell r="G13">
            <v>0.17</v>
          </cell>
        </row>
        <row r="14">
          <cell r="E14">
            <v>0.45</v>
          </cell>
          <cell r="G14">
            <v>0.7142857142857143</v>
          </cell>
        </row>
        <row r="15">
          <cell r="E15">
            <v>0.03</v>
          </cell>
          <cell r="G15">
            <v>4.2857142857142858E-2</v>
          </cell>
        </row>
        <row r="26">
          <cell r="E26">
            <v>0.12</v>
          </cell>
          <cell r="G26">
            <v>0.15</v>
          </cell>
        </row>
        <row r="27">
          <cell r="E27">
            <v>1.4999999999999999E-2</v>
          </cell>
          <cell r="G27">
            <v>0.17</v>
          </cell>
        </row>
        <row r="28">
          <cell r="E28">
            <v>0.04</v>
          </cell>
          <cell r="G28">
            <v>0.11</v>
          </cell>
        </row>
        <row r="29">
          <cell r="E29">
            <v>1.4999999999999999E-2</v>
          </cell>
          <cell r="G29">
            <v>0.17</v>
          </cell>
        </row>
        <row r="30">
          <cell r="E30">
            <v>0.3</v>
          </cell>
          <cell r="G30">
            <v>0.47619047619047616</v>
          </cell>
        </row>
        <row r="31">
          <cell r="E31">
            <v>0.03</v>
          </cell>
          <cell r="G31">
            <v>4.2857142857142858E-2</v>
          </cell>
        </row>
        <row r="62">
          <cell r="E62">
            <v>0.12</v>
          </cell>
          <cell r="G62">
            <v>0.15</v>
          </cell>
        </row>
        <row r="63">
          <cell r="E63">
            <v>0.3</v>
          </cell>
          <cell r="G63">
            <v>2.9999999999999996</v>
          </cell>
        </row>
        <row r="64">
          <cell r="E64">
            <v>0.3</v>
          </cell>
          <cell r="G64">
            <v>0.47619047619047616</v>
          </cell>
        </row>
        <row r="65">
          <cell r="E65">
            <v>0.03</v>
          </cell>
          <cell r="G65">
            <v>4.2857142857142858E-2</v>
          </cell>
        </row>
        <row r="116">
          <cell r="E116">
            <v>0.4</v>
          </cell>
          <cell r="G116">
            <v>0.33333333333333337</v>
          </cell>
        </row>
        <row r="117">
          <cell r="E117">
            <v>0.1</v>
          </cell>
          <cell r="G117">
            <v>7.1428571428571438E-2</v>
          </cell>
        </row>
        <row r="118">
          <cell r="E118">
            <v>0.03</v>
          </cell>
          <cell r="G118">
            <v>0.01</v>
          </cell>
        </row>
        <row r="119">
          <cell r="E119">
            <v>0.2</v>
          </cell>
          <cell r="G119">
            <v>0.3</v>
          </cell>
        </row>
        <row r="120">
          <cell r="E120">
            <v>0.08</v>
          </cell>
          <cell r="G120">
            <v>6.8965517241379323E-2</v>
          </cell>
        </row>
        <row r="121">
          <cell r="E121">
            <v>0.02</v>
          </cell>
          <cell r="G121">
            <v>2.2222222222222223E-2</v>
          </cell>
        </row>
        <row r="132">
          <cell r="E132">
            <v>0.03</v>
          </cell>
          <cell r="G132">
            <v>4.2857142857142858E-2</v>
          </cell>
        </row>
        <row r="133">
          <cell r="E133">
            <v>0.2</v>
          </cell>
          <cell r="G133">
            <v>0.3</v>
          </cell>
        </row>
        <row r="134">
          <cell r="E134">
            <v>7.0000000000000007E-2</v>
          </cell>
          <cell r="G134">
            <v>6.0344827586206906E-2</v>
          </cell>
        </row>
        <row r="135">
          <cell r="E135">
            <v>0.03</v>
          </cell>
          <cell r="G135">
            <v>0.01</v>
          </cell>
        </row>
        <row r="136">
          <cell r="E136">
            <v>1.4E-2</v>
          </cell>
          <cell r="G136">
            <v>6.9999999999999993E-2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amp; PIANTA"/>
      <sheetName val="1.Dati"/>
      <sheetName val="2.Stratigrafie"/>
      <sheetName val="3.Hd"/>
      <sheetName val="4.Hu"/>
      <sheetName val="5.Hg"/>
      <sheetName val="7.Apporti gratuiti"/>
      <sheetName val="8.Trasmissione"/>
      <sheetName val="9.Ventilazione"/>
      <sheetName val="10.QH,nd e costi"/>
      <sheetName val="14.Condensazione"/>
      <sheetName val="15.Inerzia termica"/>
      <sheetName val="16.Operational rating"/>
      <sheetName val="17.Efficientamento"/>
    </sheetNames>
    <sheetDataSet>
      <sheetData sheetId="0" refreshError="1"/>
      <sheetData sheetId="1" refreshError="1"/>
      <sheetData sheetId="2" refreshError="1"/>
      <sheetData sheetId="3">
        <row r="403">
          <cell r="E403">
            <v>1.6960999999999999</v>
          </cell>
        </row>
        <row r="404">
          <cell r="E404">
            <v>2.2075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amp; PIANTA"/>
      <sheetName val="1.Dati"/>
      <sheetName val="2.Stratigrafie"/>
      <sheetName val="3.Hd"/>
      <sheetName val="4.Hu"/>
      <sheetName val="5.Hg"/>
      <sheetName val="7.Apporti gratuiti"/>
      <sheetName val="8.Trasmissione"/>
      <sheetName val="9.Ventilazione"/>
      <sheetName val="10.QH,nd e costi"/>
      <sheetName val="14.Condensazione"/>
      <sheetName val="15.Inerzia termica"/>
      <sheetName val="16.Operational rating"/>
      <sheetName val="17.Efficientamento"/>
      <sheetName val="11.Impianto di Riscaldamento"/>
    </sheetNames>
    <sheetDataSet>
      <sheetData sheetId="0"/>
      <sheetData sheetId="1">
        <row r="3">
          <cell r="G3" t="str">
            <v>LAB. INTEGR. DI PROG. TECN. (TERMOFISICA DELL'EDIFICIO) a.a. 2017/2018</v>
          </cell>
          <cell r="H3">
            <v>0</v>
          </cell>
          <cell r="I3">
            <v>0</v>
          </cell>
          <cell r="J3">
            <v>0</v>
          </cell>
          <cell r="K3">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comuni-italiani.i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B2:AB6"/>
  <sheetViews>
    <sheetView zoomScale="38" zoomScaleNormal="30" workbookViewId="0">
      <selection activeCell="AZ91" sqref="AZ91"/>
    </sheetView>
  </sheetViews>
  <sheetFormatPr baseColWidth="10" defaultColWidth="11.5" defaultRowHeight="15"/>
  <sheetData>
    <row r="2" spans="2:28" ht="23">
      <c r="B2" s="355" t="s">
        <v>577</v>
      </c>
      <c r="U2" s="1341" t="s">
        <v>855</v>
      </c>
      <c r="V2" s="1342"/>
      <c r="W2" s="1342"/>
      <c r="X2" s="1342"/>
      <c r="Y2" s="1342"/>
      <c r="Z2" s="1342"/>
      <c r="AA2" s="1342"/>
      <c r="AB2" s="1343"/>
    </row>
    <row r="3" spans="2:28">
      <c r="U3" s="1344"/>
      <c r="V3" s="1345"/>
      <c r="W3" s="1345"/>
      <c r="X3" s="1345"/>
      <c r="Y3" s="1345"/>
      <c r="Z3" s="1345"/>
      <c r="AA3" s="1345"/>
      <c r="AB3" s="1346"/>
    </row>
    <row r="4" spans="2:28">
      <c r="U4" s="1344"/>
      <c r="V4" s="1345"/>
      <c r="W4" s="1345"/>
      <c r="X4" s="1345"/>
      <c r="Y4" s="1345"/>
      <c r="Z4" s="1345"/>
      <c r="AA4" s="1345"/>
      <c r="AB4" s="1346"/>
    </row>
    <row r="5" spans="2:28">
      <c r="U5" s="1347"/>
      <c r="V5" s="1348"/>
      <c r="W5" s="1348"/>
      <c r="X5" s="1348"/>
      <c r="Y5" s="1348"/>
      <c r="Z5" s="1348"/>
      <c r="AA5" s="1348"/>
      <c r="AB5" s="1349"/>
    </row>
    <row r="6" spans="2:28">
      <c r="U6" s="163"/>
    </row>
  </sheetData>
  <mergeCells count="1">
    <mergeCell ref="U2:AB5"/>
  </mergeCells>
  <pageMargins left="0.75" right="0.75" top="1" bottom="1" header="0.5" footer="0.5"/>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Z245"/>
  <sheetViews>
    <sheetView topLeftCell="A67" zoomScale="70" zoomScaleNormal="70" zoomScalePageLayoutView="175" workbookViewId="0">
      <selection activeCell="D108" sqref="D108"/>
    </sheetView>
  </sheetViews>
  <sheetFormatPr baseColWidth="10" defaultColWidth="8.83203125" defaultRowHeight="15"/>
  <cols>
    <col min="1" max="17" width="12.6640625" style="20" customWidth="1"/>
    <col min="18" max="18" width="13.83203125" style="19" customWidth="1"/>
    <col min="19" max="19" width="11.6640625" customWidth="1"/>
    <col min="20" max="21" width="13.5" customWidth="1"/>
    <col min="22" max="22" width="13.1640625" customWidth="1"/>
    <col min="23" max="23" width="13.6640625" customWidth="1"/>
  </cols>
  <sheetData>
    <row r="1" spans="1:17" ht="15" hidden="1" customHeight="1">
      <c r="A1" s="150" t="s">
        <v>0</v>
      </c>
      <c r="B1" s="1402" t="s">
        <v>566</v>
      </c>
      <c r="C1" s="1403"/>
      <c r="D1" s="1403"/>
      <c r="E1" s="1404"/>
      <c r="F1" s="1508"/>
      <c r="G1" s="1402" t="s">
        <v>567</v>
      </c>
      <c r="H1" s="1403"/>
      <c r="I1" s="1403"/>
      <c r="J1" s="1403"/>
      <c r="K1" s="1404"/>
      <c r="L1" s="1352" t="s">
        <v>5</v>
      </c>
      <c r="M1" s="1353"/>
      <c r="N1" s="1352" t="s">
        <v>6</v>
      </c>
      <c r="O1" s="1353"/>
    </row>
    <row r="2" spans="1:17" ht="15" customHeight="1">
      <c r="A2" s="47">
        <v>10</v>
      </c>
      <c r="B2" s="1511" t="s">
        <v>398</v>
      </c>
      <c r="C2" s="1512"/>
      <c r="D2" s="1512"/>
      <c r="E2" s="1513"/>
      <c r="F2" s="1509"/>
      <c r="G2" s="1414" t="s">
        <v>568</v>
      </c>
      <c r="H2" s="1415"/>
      <c r="I2" s="1415"/>
      <c r="J2" s="1415"/>
      <c r="K2" s="1416"/>
      <c r="L2" s="1391" t="s">
        <v>573</v>
      </c>
      <c r="M2" s="1392"/>
      <c r="N2" s="1391" t="str">
        <f>'9.Ventilazione'!N75:O75</f>
        <v>X</v>
      </c>
      <c r="O2" s="1392"/>
    </row>
    <row r="3" spans="1:17" ht="15" customHeight="1">
      <c r="A3" s="48" t="s">
        <v>62</v>
      </c>
      <c r="B3" s="1514"/>
      <c r="C3" s="1515"/>
      <c r="D3" s="1515"/>
      <c r="E3" s="1516"/>
      <c r="F3" s="1510"/>
      <c r="G3" s="1354" t="str">
        <f>'1.Dati'!G3:K3</f>
        <v>LAB. INTEGR. DI PROG. TECN. (TERMOFISICA DELL'EDIFICIO) a.a. 2019/2020</v>
      </c>
      <c r="H3" s="1355"/>
      <c r="I3" s="1355"/>
      <c r="J3" s="1355"/>
      <c r="K3" s="1356"/>
      <c r="L3" s="1357" t="s">
        <v>1028</v>
      </c>
      <c r="M3" s="1358"/>
      <c r="N3" s="1357" t="str">
        <f>'9.Ventilazione'!N76:O76</f>
        <v>Y</v>
      </c>
      <c r="O3" s="1358"/>
    </row>
    <row r="4" spans="1:17" ht="15" customHeight="1"/>
    <row r="5" spans="1:17" ht="15" customHeight="1" thickBot="1"/>
    <row r="6" spans="1:17" ht="15" customHeight="1" thickBot="1">
      <c r="A6" s="1408" t="s">
        <v>399</v>
      </c>
      <c r="B6" s="1409"/>
      <c r="C6" s="1741" t="s">
        <v>403</v>
      </c>
      <c r="D6" s="1741" t="s">
        <v>404</v>
      </c>
      <c r="E6" s="1741" t="s">
        <v>405</v>
      </c>
      <c r="F6" s="1741" t="s">
        <v>406</v>
      </c>
      <c r="G6" s="1741" t="s">
        <v>407</v>
      </c>
      <c r="H6" s="1741" t="s">
        <v>408</v>
      </c>
      <c r="I6" s="1760" t="s">
        <v>414</v>
      </c>
      <c r="J6" s="359" t="s">
        <v>580</v>
      </c>
    </row>
    <row r="7" spans="1:17" ht="21" customHeight="1">
      <c r="A7" s="1385"/>
      <c r="B7" s="1387"/>
      <c r="C7" s="1742"/>
      <c r="D7" s="1742"/>
      <c r="E7" s="1742"/>
      <c r="F7" s="1742"/>
      <c r="G7" s="1742"/>
      <c r="H7" s="1742"/>
      <c r="I7" s="1742"/>
    </row>
    <row r="8" spans="1:17" ht="20.25" customHeight="1">
      <c r="A8" s="1752" t="s">
        <v>883</v>
      </c>
      <c r="B8" s="1753"/>
      <c r="C8" s="102" t="s">
        <v>218</v>
      </c>
      <c r="D8" s="102" t="s">
        <v>218</v>
      </c>
      <c r="E8" s="102" t="s">
        <v>218</v>
      </c>
      <c r="F8" s="102" t="s">
        <v>218</v>
      </c>
      <c r="G8" s="102" t="s">
        <v>218</v>
      </c>
      <c r="H8" s="102" t="s">
        <v>218</v>
      </c>
      <c r="I8" s="102" t="s">
        <v>218</v>
      </c>
    </row>
    <row r="9" spans="1:17" ht="15" customHeight="1">
      <c r="A9" s="1754" t="s">
        <v>213</v>
      </c>
      <c r="B9" s="1755"/>
      <c r="C9" s="320">
        <f>'8.Trasmissione'!F216</f>
        <v>0</v>
      </c>
      <c r="D9" s="320">
        <v>0</v>
      </c>
      <c r="E9" s="320">
        <v>0</v>
      </c>
      <c r="F9" s="320">
        <v>0</v>
      </c>
      <c r="G9" s="579">
        <v>0</v>
      </c>
      <c r="H9" s="579">
        <f>SUM(C9+D9)</f>
        <v>0</v>
      </c>
      <c r="I9" s="579">
        <v>0</v>
      </c>
    </row>
    <row r="10" spans="1:17" ht="15" customHeight="1">
      <c r="A10" s="1754" t="s">
        <v>214</v>
      </c>
      <c r="B10" s="1755"/>
      <c r="C10" s="320">
        <f>'8.Trasmissione'!I216</f>
        <v>1622.1418385863733</v>
      </c>
      <c r="D10" s="320">
        <f>'9.Ventilazione'!E143</f>
        <v>342.36977616000001</v>
      </c>
      <c r="E10" s="320">
        <f>'7.Apporti gratuiti'!K153</f>
        <v>306.46968470931796</v>
      </c>
      <c r="F10" s="320">
        <f>'7.Apporti gratuiti'!D808</f>
        <v>395.837447319707</v>
      </c>
      <c r="G10" s="579">
        <f t="shared" ref="G10:G15" si="0">SUM(E10,F10)</f>
        <v>702.30713202902496</v>
      </c>
      <c r="H10" s="579">
        <f t="shared" ref="H10:H15" si="1">SUM(C10+D10)</f>
        <v>1964.5116147463732</v>
      </c>
      <c r="I10" s="579">
        <f t="shared" ref="I10:I14" si="2">H10-(K22*G10)</f>
        <v>1383.8147716148419</v>
      </c>
    </row>
    <row r="11" spans="1:17" ht="15" customHeight="1">
      <c r="A11" s="1754" t="s">
        <v>215</v>
      </c>
      <c r="B11" s="1755"/>
      <c r="C11" s="320">
        <f>'8.Trasmissione'!L216</f>
        <v>6183.3643713818392</v>
      </c>
      <c r="D11" s="320">
        <f>'9.Ventilazione'!G143</f>
        <v>1305.0628652736</v>
      </c>
      <c r="E11" s="320">
        <f>'7.Apporti gratuiti'!L153</f>
        <v>316.68534086629529</v>
      </c>
      <c r="F11" s="320">
        <f>'7.Apporti gratuiti'!D809</f>
        <v>328.75187426681913</v>
      </c>
      <c r="G11" s="579">
        <f t="shared" si="0"/>
        <v>645.43721513311448</v>
      </c>
      <c r="H11" s="579">
        <f t="shared" si="1"/>
        <v>7488.4272366554396</v>
      </c>
      <c r="I11" s="579">
        <f t="shared" si="2"/>
        <v>6863.8782059420082</v>
      </c>
    </row>
    <row r="12" spans="1:17" ht="15" customHeight="1">
      <c r="A12" s="1754" t="s">
        <v>204</v>
      </c>
      <c r="B12" s="1755"/>
      <c r="C12" s="320">
        <f>'8.Trasmissione'!F312</f>
        <v>7226.3414942655127</v>
      </c>
      <c r="D12" s="320">
        <f>'9.Ventilazione'!I143</f>
        <v>1525.1939509823999</v>
      </c>
      <c r="E12" s="320">
        <f>'7.Apporti gratuiti'!M153</f>
        <v>316.68534086629529</v>
      </c>
      <c r="F12" s="320">
        <f>'7.Apporti gratuiti'!D798</f>
        <v>367.65147553543392</v>
      </c>
      <c r="G12" s="579">
        <f t="shared" si="0"/>
        <v>684.33681640172927</v>
      </c>
      <c r="H12" s="579">
        <f t="shared" si="1"/>
        <v>8751.5354452479132</v>
      </c>
      <c r="I12" s="579">
        <f t="shared" si="2"/>
        <v>8086.7490614554199</v>
      </c>
    </row>
    <row r="13" spans="1:17" ht="15" customHeight="1">
      <c r="A13" s="1754" t="s">
        <v>205</v>
      </c>
      <c r="B13" s="1755"/>
      <c r="C13" s="320">
        <f>'8.Trasmissione'!I312</f>
        <v>6411.6658153310291</v>
      </c>
      <c r="D13" s="320">
        <f>'9.Ventilazione'!K143</f>
        <v>1353.2482411775995</v>
      </c>
      <c r="E13" s="320">
        <f>'7.Apporti gratuiti'!N153</f>
        <v>296.25402855234069</v>
      </c>
      <c r="F13" s="320">
        <f>'7.Apporti gratuiti'!D799</f>
        <v>428.03833491878999</v>
      </c>
      <c r="G13" s="579">
        <f t="shared" si="0"/>
        <v>724.29236347113067</v>
      </c>
      <c r="H13" s="579">
        <f t="shared" si="1"/>
        <v>7764.9140565086291</v>
      </c>
      <c r="I13" s="579">
        <f t="shared" si="2"/>
        <v>7066.5431541983771</v>
      </c>
    </row>
    <row r="14" spans="1:17" ht="15" customHeight="1">
      <c r="A14" s="1754" t="s">
        <v>206</v>
      </c>
      <c r="B14" s="1755"/>
      <c r="C14" s="320">
        <f>'8.Trasmissione'!L312</f>
        <v>5363.8823462589362</v>
      </c>
      <c r="D14" s="139">
        <f>'9.Ventilazione'!M143</f>
        <v>1132.1027265023999</v>
      </c>
      <c r="E14" s="139">
        <f>'7.Apporti gratuiti'!O153</f>
        <v>316.68534086629529</v>
      </c>
      <c r="F14" s="139">
        <f>'7.Apporti gratuiti'!D800</f>
        <v>544.11987814545284</v>
      </c>
      <c r="G14" s="579">
        <f t="shared" si="0"/>
        <v>860.80521901174814</v>
      </c>
      <c r="H14" s="579">
        <f t="shared" si="1"/>
        <v>6495.9850727613357</v>
      </c>
      <c r="I14" s="579">
        <f t="shared" si="2"/>
        <v>5682.9892384263803</v>
      </c>
    </row>
    <row r="15" spans="1:17" ht="15" customHeight="1">
      <c r="A15" s="1754" t="s">
        <v>207</v>
      </c>
      <c r="B15" s="1755"/>
      <c r="C15" s="320">
        <f>'8.Trasmissione'!O312</f>
        <v>0</v>
      </c>
      <c r="D15" s="567">
        <f>'9.Ventilazione'!O107</f>
        <v>0</v>
      </c>
      <c r="E15" s="567">
        <f>'7.Apporti gratuiti'!P153</f>
        <v>0</v>
      </c>
      <c r="F15" s="567">
        <v>0</v>
      </c>
      <c r="G15" s="579">
        <f t="shared" si="0"/>
        <v>0</v>
      </c>
      <c r="H15" s="579">
        <f t="shared" si="1"/>
        <v>0</v>
      </c>
      <c r="I15" s="579">
        <v>0</v>
      </c>
      <c r="J15" s="1450"/>
      <c r="K15" s="1450"/>
    </row>
    <row r="16" spans="1:17" ht="15" customHeight="1">
      <c r="A16" s="562"/>
      <c r="B16" s="562"/>
      <c r="C16" s="86"/>
      <c r="D16" s="86"/>
      <c r="E16" s="86"/>
      <c r="F16" s="86"/>
      <c r="G16" s="560"/>
      <c r="H16" s="560"/>
      <c r="I16" s="569">
        <f>SUM(I9:I15)</f>
        <v>29083.974431637027</v>
      </c>
      <c r="J16" s="1829" t="s">
        <v>669</v>
      </c>
      <c r="K16" s="1830"/>
      <c r="L16" s="560"/>
      <c r="M16" s="560"/>
      <c r="N16" s="560"/>
      <c r="O16" s="560"/>
      <c r="P16" s="560"/>
      <c r="Q16" s="560"/>
    </row>
    <row r="17" spans="1:18" ht="15" customHeight="1"/>
    <row r="18" spans="1:18" ht="15" customHeight="1">
      <c r="A18" s="1408" t="s">
        <v>416</v>
      </c>
      <c r="B18" s="1409"/>
      <c r="C18" s="1827" t="s">
        <v>400</v>
      </c>
      <c r="D18" s="1827" t="s">
        <v>401</v>
      </c>
      <c r="E18" s="1827" t="s">
        <v>402</v>
      </c>
      <c r="F18" s="1827" t="s">
        <v>409</v>
      </c>
      <c r="G18" s="1827" t="s">
        <v>411</v>
      </c>
      <c r="H18" s="1827" t="s">
        <v>380</v>
      </c>
      <c r="I18" s="1827" t="s">
        <v>347</v>
      </c>
      <c r="J18" s="1827" t="s">
        <v>412</v>
      </c>
      <c r="K18" s="1827" t="s">
        <v>413</v>
      </c>
    </row>
    <row r="19" spans="1:18" ht="22.5" customHeight="1">
      <c r="A19" s="1385"/>
      <c r="B19" s="1387"/>
      <c r="C19" s="1828"/>
      <c r="D19" s="1828"/>
      <c r="E19" s="1828"/>
      <c r="F19" s="1828"/>
      <c r="G19" s="1828"/>
      <c r="H19" s="1828"/>
      <c r="I19" s="1828"/>
      <c r="J19" s="1828"/>
      <c r="K19" s="1828"/>
    </row>
    <row r="20" spans="1:18" ht="35.25" customHeight="1">
      <c r="A20" s="1752" t="str">
        <f>A8</f>
        <v>15 Novembre - 31 Marzo</v>
      </c>
      <c r="B20" s="1753"/>
      <c r="C20" s="242" t="s">
        <v>24</v>
      </c>
      <c r="D20" s="242" t="s">
        <v>24</v>
      </c>
      <c r="E20" s="168" t="s">
        <v>217</v>
      </c>
      <c r="F20" s="168" t="s">
        <v>410</v>
      </c>
      <c r="G20" s="168" t="s">
        <v>75</v>
      </c>
      <c r="H20" s="168" t="s">
        <v>75</v>
      </c>
      <c r="I20" s="168" t="s">
        <v>217</v>
      </c>
      <c r="J20" s="242" t="s">
        <v>24</v>
      </c>
      <c r="K20" s="242" t="s">
        <v>24</v>
      </c>
    </row>
    <row r="21" spans="1:18" ht="15" customHeight="1">
      <c r="A21" s="1754" t="s">
        <v>213</v>
      </c>
      <c r="B21" s="1755"/>
      <c r="C21" s="125">
        <v>0</v>
      </c>
      <c r="D21" s="569">
        <v>0</v>
      </c>
      <c r="E21" s="569">
        <v>0</v>
      </c>
      <c r="F21" s="569">
        <v>0</v>
      </c>
      <c r="G21" s="569">
        <v>0</v>
      </c>
      <c r="H21" s="569">
        <v>0</v>
      </c>
      <c r="I21" s="569">
        <v>0</v>
      </c>
      <c r="J21" s="569">
        <v>0</v>
      </c>
      <c r="K21" s="569">
        <v>0</v>
      </c>
    </row>
    <row r="22" spans="1:18" ht="15" customHeight="1" thickBot="1">
      <c r="A22" s="1754" t="s">
        <v>214</v>
      </c>
      <c r="B22" s="1755"/>
      <c r="C22" s="569">
        <f t="shared" ref="C22:C26" si="3">G10/H10</f>
        <v>0.35749706275963949</v>
      </c>
      <c r="D22" s="130">
        <v>1</v>
      </c>
      <c r="E22" s="130">
        <v>15</v>
      </c>
      <c r="F22" s="256">
        <f>165000*SUM('1.Dati'!$D$9:$D$20)</f>
        <v>43050612</v>
      </c>
      <c r="G22" s="569">
        <f>'8.Trasmissione'!G11</f>
        <v>1978.2731892508482</v>
      </c>
      <c r="H22" s="569">
        <f>'9.Ventilazione'!$K$9</f>
        <v>211.33936799999995</v>
      </c>
      <c r="I22" s="569">
        <f t="shared" ref="I22:I26" si="4">((F22/3600)/(G22+H22))</f>
        <v>5.4614700183980238</v>
      </c>
      <c r="J22" s="569">
        <f t="shared" ref="J22:J26" si="5">D22+(I22/E22)</f>
        <v>1.3640980012265349</v>
      </c>
      <c r="K22" s="257">
        <f t="shared" ref="K22:K26" si="6">((1-(C22^J22))/(1-(C22^(J22+1))))</f>
        <v>0.82684172870898931</v>
      </c>
    </row>
    <row r="23" spans="1:18" ht="15" customHeight="1" thickBot="1">
      <c r="A23" s="1754" t="s">
        <v>215</v>
      </c>
      <c r="B23" s="1755"/>
      <c r="C23" s="569">
        <f t="shared" si="3"/>
        <v>8.6191291540329701E-2</v>
      </c>
      <c r="D23" s="130">
        <v>1</v>
      </c>
      <c r="E23" s="130">
        <v>15</v>
      </c>
      <c r="F23" s="256">
        <f>165000*SUM('1.Dati'!$D$9:$D$20)</f>
        <v>43050612</v>
      </c>
      <c r="G23" s="569">
        <f>'8.Trasmissione'!G12</f>
        <v>1978.2731892508482</v>
      </c>
      <c r="H23" s="569">
        <f>'9.Ventilazione'!$K$9</f>
        <v>211.33936799999995</v>
      </c>
      <c r="I23" s="569">
        <f t="shared" si="4"/>
        <v>5.4614700183980238</v>
      </c>
      <c r="J23" s="569">
        <f t="shared" si="5"/>
        <v>1.3640980012265349</v>
      </c>
      <c r="K23" s="257">
        <f t="shared" si="6"/>
        <v>0.96763715520281002</v>
      </c>
      <c r="L23" s="359" t="s">
        <v>580</v>
      </c>
    </row>
    <row r="24" spans="1:18" ht="15" customHeight="1">
      <c r="A24" s="1754" t="s">
        <v>204</v>
      </c>
      <c r="B24" s="1755"/>
      <c r="C24" s="569">
        <f t="shared" si="3"/>
        <v>7.8196200047766978E-2</v>
      </c>
      <c r="D24" s="130">
        <v>1</v>
      </c>
      <c r="E24" s="130">
        <v>15</v>
      </c>
      <c r="F24" s="256">
        <f>165000*SUM('1.Dati'!$D$9:$D$20)</f>
        <v>43050612</v>
      </c>
      <c r="G24" s="569">
        <f>'8.Trasmissione'!G13</f>
        <v>1978.2731892508482</v>
      </c>
      <c r="H24" s="569">
        <f>'9.Ventilazione'!$K$9</f>
        <v>211.33936799999995</v>
      </c>
      <c r="I24" s="569">
        <f t="shared" si="4"/>
        <v>5.4614700183980238</v>
      </c>
      <c r="J24" s="569">
        <f t="shared" si="5"/>
        <v>1.3640980012265349</v>
      </c>
      <c r="K24" s="257">
        <f t="shared" si="6"/>
        <v>0.97143156390148233</v>
      </c>
    </row>
    <row r="25" spans="1:18" ht="15" customHeight="1">
      <c r="A25" s="1754" t="s">
        <v>205</v>
      </c>
      <c r="B25" s="1755"/>
      <c r="C25" s="569">
        <f t="shared" si="3"/>
        <v>9.3277576313162344E-2</v>
      </c>
      <c r="D25" s="130">
        <v>1</v>
      </c>
      <c r="E25" s="130">
        <v>15</v>
      </c>
      <c r="F25" s="256">
        <f>165000*SUM('1.Dati'!$D$9:$D$20)</f>
        <v>43050612</v>
      </c>
      <c r="G25" s="569">
        <f>'8.Trasmissione'!G14</f>
        <v>1978.2731892508482</v>
      </c>
      <c r="H25" s="569">
        <f>'9.Ventilazione'!$K$9</f>
        <v>211.33936799999995</v>
      </c>
      <c r="I25" s="569">
        <f t="shared" si="4"/>
        <v>5.4614700183980238</v>
      </c>
      <c r="J25" s="569">
        <f t="shared" si="5"/>
        <v>1.3640980012265349</v>
      </c>
      <c r="K25" s="257">
        <f t="shared" si="6"/>
        <v>0.96421132892158123</v>
      </c>
    </row>
    <row r="26" spans="1:18" ht="15" customHeight="1">
      <c r="A26" s="1754" t="s">
        <v>206</v>
      </c>
      <c r="B26" s="1755"/>
      <c r="C26" s="569">
        <f t="shared" si="3"/>
        <v>0.13251342319446466</v>
      </c>
      <c r="D26" s="130">
        <v>1</v>
      </c>
      <c r="E26" s="130">
        <v>15</v>
      </c>
      <c r="F26" s="256">
        <f>165000*SUM('1.Dati'!$D$9:$D$20)</f>
        <v>43050612</v>
      </c>
      <c r="G26" s="569">
        <f>'8.Trasmissione'!G15</f>
        <v>1978.2731892508482</v>
      </c>
      <c r="H26" s="569">
        <f>'9.Ventilazione'!$K$9</f>
        <v>211.33936799999995</v>
      </c>
      <c r="I26" s="569">
        <f t="shared" si="4"/>
        <v>5.4614700183980238</v>
      </c>
      <c r="J26" s="569">
        <f t="shared" si="5"/>
        <v>1.3640980012265349</v>
      </c>
      <c r="K26" s="257">
        <f t="shared" si="6"/>
        <v>0.94445969468948987</v>
      </c>
    </row>
    <row r="27" spans="1:18" ht="15" customHeight="1">
      <c r="A27" s="1754" t="s">
        <v>207</v>
      </c>
      <c r="B27" s="1755"/>
      <c r="C27" s="566">
        <v>0</v>
      </c>
      <c r="D27" s="1037">
        <v>0</v>
      </c>
      <c r="E27" s="1037">
        <v>0</v>
      </c>
      <c r="F27" s="569">
        <v>0</v>
      </c>
      <c r="G27" s="569">
        <v>0</v>
      </c>
      <c r="H27" s="569">
        <v>0</v>
      </c>
      <c r="I27" s="569">
        <v>0</v>
      </c>
      <c r="J27" s="569">
        <v>0</v>
      </c>
      <c r="K27" s="569">
        <v>0</v>
      </c>
    </row>
    <row r="28" spans="1:18" ht="15" customHeight="1">
      <c r="A28" s="560"/>
      <c r="B28" s="560"/>
      <c r="C28" s="568"/>
      <c r="D28" s="561"/>
      <c r="E28" s="561"/>
      <c r="F28" s="560"/>
      <c r="G28" s="560"/>
      <c r="H28" s="560"/>
      <c r="I28" s="560"/>
      <c r="J28" s="560"/>
      <c r="K28" s="560"/>
      <c r="L28" s="560"/>
      <c r="M28" s="560"/>
      <c r="N28" s="560"/>
      <c r="O28" s="560"/>
      <c r="P28" s="560"/>
      <c r="Q28" s="560"/>
    </row>
    <row r="29" spans="1:18" ht="15" customHeight="1">
      <c r="A29" s="560"/>
      <c r="B29" s="560"/>
      <c r="C29" s="809"/>
      <c r="D29" s="563"/>
      <c r="E29" s="563"/>
      <c r="F29" s="560"/>
      <c r="G29" s="560"/>
      <c r="H29" s="560"/>
      <c r="I29" s="560"/>
      <c r="J29" s="560"/>
      <c r="K29" s="560"/>
      <c r="L29" s="560"/>
      <c r="M29" s="560"/>
      <c r="N29" s="560"/>
      <c r="O29" s="560"/>
      <c r="P29" s="560"/>
      <c r="Q29" s="560"/>
    </row>
    <row r="30" spans="1:18" ht="15" customHeight="1">
      <c r="C30" s="1026"/>
      <c r="D30" s="1831" t="s">
        <v>659</v>
      </c>
      <c r="E30" s="1832"/>
      <c r="F30" s="1833"/>
    </row>
    <row r="31" spans="1:18" ht="18" customHeight="1">
      <c r="A31" s="1417" t="s">
        <v>415</v>
      </c>
      <c r="B31" s="1417"/>
      <c r="C31" s="1417"/>
      <c r="D31" s="1834" t="s">
        <v>213</v>
      </c>
      <c r="E31" s="1826"/>
      <c r="F31" s="1826"/>
      <c r="G31" s="1826"/>
      <c r="H31" s="1826"/>
      <c r="I31" s="1835" t="s">
        <v>214</v>
      </c>
      <c r="J31" s="1826"/>
      <c r="K31" s="1826"/>
      <c r="L31" s="1826"/>
      <c r="M31" s="1836"/>
      <c r="N31" s="1826" t="s">
        <v>215</v>
      </c>
      <c r="O31" s="1826"/>
      <c r="P31" s="1826"/>
      <c r="Q31" s="1826"/>
      <c r="R31" s="1844"/>
    </row>
    <row r="32" spans="1:18" ht="24" customHeight="1">
      <c r="A32" s="1417"/>
      <c r="B32" s="1417"/>
      <c r="C32" s="1417"/>
      <c r="D32" s="261" t="s">
        <v>403</v>
      </c>
      <c r="E32" s="261" t="s">
        <v>404</v>
      </c>
      <c r="F32" s="261" t="s">
        <v>405</v>
      </c>
      <c r="G32" s="261" t="s">
        <v>406</v>
      </c>
      <c r="H32" s="1067" t="s">
        <v>414</v>
      </c>
      <c r="I32" s="1121" t="s">
        <v>403</v>
      </c>
      <c r="J32" s="261" t="s">
        <v>404</v>
      </c>
      <c r="K32" s="261" t="s">
        <v>405</v>
      </c>
      <c r="L32" s="261" t="s">
        <v>406</v>
      </c>
      <c r="M32" s="1122" t="s">
        <v>414</v>
      </c>
      <c r="N32" s="1068" t="s">
        <v>403</v>
      </c>
      <c r="O32" s="261" t="s">
        <v>404</v>
      </c>
      <c r="P32" s="261" t="s">
        <v>405</v>
      </c>
      <c r="Q32" s="261" t="s">
        <v>406</v>
      </c>
      <c r="R32" s="261" t="s">
        <v>414</v>
      </c>
    </row>
    <row r="33" spans="1:18" ht="28.5" customHeight="1">
      <c r="A33" s="1417" t="str">
        <f>A20</f>
        <v>15 Novembre - 31 Marzo</v>
      </c>
      <c r="B33" s="1417"/>
      <c r="C33" s="1417"/>
      <c r="D33" s="175" t="s">
        <v>218</v>
      </c>
      <c r="E33" s="175" t="s">
        <v>218</v>
      </c>
      <c r="F33" s="175" t="s">
        <v>218</v>
      </c>
      <c r="G33" s="175" t="s">
        <v>218</v>
      </c>
      <c r="H33" s="1041" t="s">
        <v>218</v>
      </c>
      <c r="I33" s="1123" t="s">
        <v>218</v>
      </c>
      <c r="J33" s="175" t="s">
        <v>218</v>
      </c>
      <c r="K33" s="175" t="s">
        <v>218</v>
      </c>
      <c r="L33" s="175" t="s">
        <v>218</v>
      </c>
      <c r="M33" s="1124" t="s">
        <v>218</v>
      </c>
      <c r="N33" s="1042" t="s">
        <v>218</v>
      </c>
      <c r="O33" s="175" t="s">
        <v>218</v>
      </c>
      <c r="P33" s="175" t="s">
        <v>218</v>
      </c>
      <c r="Q33" s="175" t="s">
        <v>218</v>
      </c>
      <c r="R33" s="175" t="s">
        <v>218</v>
      </c>
    </row>
    <row r="34" spans="1:18" ht="15" customHeight="1">
      <c r="A34" s="1484" t="s">
        <v>34</v>
      </c>
      <c r="B34" s="1796" t="s">
        <v>809</v>
      </c>
      <c r="C34" s="1282" t="s">
        <v>9</v>
      </c>
      <c r="D34" s="139"/>
      <c r="E34" s="139"/>
      <c r="F34" s="139"/>
      <c r="G34" s="139"/>
      <c r="H34" s="512"/>
      <c r="I34" s="1125">
        <f>'8.Trasmissione'!H131</f>
        <v>36.14341499999999</v>
      </c>
      <c r="J34" s="1044">
        <f>'9.Ventilazione'!E83</f>
        <v>6.4822680000000013</v>
      </c>
      <c r="K34" s="1044">
        <f>'7.Apporti gratuiti'!K93</f>
        <v>34.8153155183808</v>
      </c>
      <c r="L34" s="1044">
        <f>SUM('7.Apporti gratuiti'!O532:O535)</f>
        <v>1.5806489463027589</v>
      </c>
      <c r="M34" s="1126">
        <f t="shared" ref="M34:M92" si="7">(I34+J34)-($K$22*(K34+L34))</f>
        <v>12.531980823990096</v>
      </c>
      <c r="N34" s="432">
        <f>'8.Trasmissione'!L131</f>
        <v>137.77334340000002</v>
      </c>
      <c r="O34" s="320">
        <f>'9.Ventilazione'!G83</f>
        <v>24.709445280000004</v>
      </c>
      <c r="P34" s="320">
        <f>'7.Apporti gratuiti'!L93</f>
        <v>35.975826035660162</v>
      </c>
      <c r="Q34" s="1044">
        <f>SUM('7.Apporti gratuiti'!P532:P535)</f>
        <v>1.2639803625376387</v>
      </c>
      <c r="R34" s="320">
        <f t="shared" ref="R34:R93" si="8">(N34+O34)-($K$23*(P34+Q34))</f>
        <v>126.4481683565445</v>
      </c>
    </row>
    <row r="35" spans="1:18" ht="15" customHeight="1">
      <c r="A35" s="1485"/>
      <c r="B35" s="1797"/>
      <c r="C35" s="1283" t="s">
        <v>804</v>
      </c>
      <c r="D35" s="567"/>
      <c r="E35" s="542"/>
      <c r="F35" s="542"/>
      <c r="G35" s="567"/>
      <c r="H35" s="512"/>
      <c r="I35" s="1125">
        <f>'8.Trasmissione'!H132</f>
        <v>122.102046</v>
      </c>
      <c r="J35" s="1044">
        <f>'9.Ventilazione'!E84</f>
        <v>16.428743999999998</v>
      </c>
      <c r="K35" s="1044">
        <f>'7.Apporti gratuiti'!K94</f>
        <v>88.236386698406392</v>
      </c>
      <c r="L35" s="1044">
        <f>SUM('7.Apporti gratuiti'!O536:O542)</f>
        <v>5.7625694291407044</v>
      </c>
      <c r="M35" s="1126">
        <f t="shared" si="7"/>
        <v>60.808530618658509</v>
      </c>
      <c r="N35" s="432">
        <f>'8.Trasmissione'!L132</f>
        <v>465.43491016000002</v>
      </c>
      <c r="O35" s="320">
        <f>'9.Ventilazione'!G84</f>
        <v>62.623938240000001</v>
      </c>
      <c r="P35" s="320">
        <f>'7.Apporti gratuiti'!L94</f>
        <v>91.177599588353274</v>
      </c>
      <c r="Q35" s="1044">
        <f>SUM('7.Apporti gratuiti'!P536:P542)</f>
        <v>4.6411682364883688</v>
      </c>
      <c r="R35" s="320">
        <f t="shared" si="8"/>
        <v>435.34104848693164</v>
      </c>
    </row>
    <row r="36" spans="1:18" ht="15" customHeight="1">
      <c r="A36" s="1485"/>
      <c r="B36" s="1797"/>
      <c r="C36" s="1283" t="s">
        <v>22</v>
      </c>
      <c r="D36" s="567"/>
      <c r="E36" s="542"/>
      <c r="F36" s="542"/>
      <c r="G36" s="567"/>
      <c r="H36" s="512"/>
      <c r="I36" s="1125">
        <f>'8.Trasmissione'!H133</f>
        <v>3.7600200000000004</v>
      </c>
      <c r="J36" s="1044">
        <f>'9.Ventilazione'!E85</f>
        <v>2.61451476</v>
      </c>
      <c r="K36" s="1044">
        <f>'7.Apporti gratuiti'!K95</f>
        <v>11.121167588664958</v>
      </c>
      <c r="L36" s="1044">
        <f>SUM('7.Apporti gratuiti'!O561:O563)</f>
        <v>1.9104284995202716</v>
      </c>
      <c r="M36" s="1126">
        <f t="shared" si="7"/>
        <v>-4.4005326773923779</v>
      </c>
      <c r="N36" s="432">
        <f>'8.Trasmissione'!L133</f>
        <v>14.332639200000001</v>
      </c>
      <c r="O36" s="320">
        <f>'9.Ventilazione'!G85</f>
        <v>9.9661429296000001</v>
      </c>
      <c r="P36" s="320">
        <f>'7.Apporti gratuiti'!L95</f>
        <v>11.491873174953792</v>
      </c>
      <c r="Q36" s="1044">
        <f>SUM('7.Apporti gratuiti'!P561:P563)</f>
        <v>1.509854781878925</v>
      </c>
      <c r="R36" s="320">
        <f t="shared" si="8"/>
        <v>11.717827076729545</v>
      </c>
    </row>
    <row r="37" spans="1:18">
      <c r="A37" s="1485"/>
      <c r="B37" s="1797"/>
      <c r="C37" s="1283" t="s">
        <v>803</v>
      </c>
      <c r="D37" s="567"/>
      <c r="E37" s="542"/>
      <c r="F37" s="542"/>
      <c r="G37" s="567"/>
      <c r="H37" s="512"/>
      <c r="I37" s="1125">
        <f>'8.Trasmissione'!H134</f>
        <v>5.6311199999999992</v>
      </c>
      <c r="J37" s="1044">
        <f>'9.Ventilazione'!E86</f>
        <v>2.4144479999999997</v>
      </c>
      <c r="K37" s="1044">
        <f>'7.Apporti gratuiti'!K96</f>
        <v>5.591123544787199</v>
      </c>
      <c r="L37" s="1044">
        <f>SUM('7.Apporti gratuiti'!O552:O554)</f>
        <v>0.76448352599921199</v>
      </c>
      <c r="M37" s="1126">
        <f t="shared" si="7"/>
        <v>2.7904868625958876</v>
      </c>
      <c r="N37" s="432">
        <f>'8.Trasmissione'!L134</f>
        <v>21.464995200000001</v>
      </c>
      <c r="O37" s="320">
        <f>'9.Ventilazione'!G86</f>
        <v>9.203518080000002</v>
      </c>
      <c r="P37" s="320">
        <f>'7.Apporti gratuiti'!L96</f>
        <v>5.7774943296134387</v>
      </c>
      <c r="Q37" s="1044">
        <f>SUM('7.Apporti gratuiti'!P552:P554)</f>
        <v>0.64216616183933817</v>
      </c>
      <c r="R37" s="320">
        <f t="shared" si="8"/>
        <v>24.456611264682763</v>
      </c>
    </row>
    <row r="38" spans="1:18">
      <c r="A38" s="1485"/>
      <c r="B38" s="1797"/>
      <c r="C38" s="1283" t="s">
        <v>802</v>
      </c>
      <c r="D38" s="567"/>
      <c r="E38" s="542"/>
      <c r="F38" s="542"/>
      <c r="G38" s="567"/>
      <c r="H38" s="512"/>
      <c r="I38" s="1125">
        <f>'8.Trasmissione'!H135</f>
        <v>25.620011999999996</v>
      </c>
      <c r="J38" s="1044">
        <f>'9.Ventilazione'!E87</f>
        <v>1.041012</v>
      </c>
      <c r="K38" s="1044">
        <f>'7.Apporti gratuiti'!K97</f>
        <v>36.588970256328004</v>
      </c>
      <c r="L38" s="1044">
        <f>SUM('7.Apporti gratuiti'!O545:O547)</f>
        <v>0</v>
      </c>
      <c r="M38" s="1126">
        <f t="shared" si="7"/>
        <v>-3.592263418424043</v>
      </c>
      <c r="N38" s="432">
        <f>'8.Trasmissione'!L135</f>
        <v>97.65969018666668</v>
      </c>
      <c r="O38" s="320">
        <f>'9.Ventilazione'!G87</f>
        <v>3.9681835200000002</v>
      </c>
      <c r="P38" s="320">
        <f>'7.Apporti gratuiti'!L97</f>
        <v>37.808602598205603</v>
      </c>
      <c r="Q38" s="1044">
        <f>SUM('7.Apporti gratuiti'!P545:P547)</f>
        <v>0</v>
      </c>
      <c r="R38" s="320">
        <f t="shared" si="8"/>
        <v>65.04286504634544</v>
      </c>
    </row>
    <row r="39" spans="1:18">
      <c r="A39" s="1485"/>
      <c r="B39" s="1797"/>
      <c r="C39" s="1283" t="s">
        <v>587</v>
      </c>
      <c r="D39" s="567"/>
      <c r="E39" s="542"/>
      <c r="F39" s="542"/>
      <c r="G39" s="567"/>
      <c r="H39" s="512"/>
      <c r="I39" s="1125">
        <f>'8.Trasmissione'!H136</f>
        <v>13.266296999999996</v>
      </c>
      <c r="J39" s="1044">
        <f>'9.Ventilazione'!E88</f>
        <v>8.8136100000000006</v>
      </c>
      <c r="K39" s="1044">
        <f>'7.Apporti gratuiti'!K98</f>
        <v>12.967647885388796</v>
      </c>
      <c r="L39" s="1044">
        <f>SUM('7.Apporti gratuiti'!O564:O567)</f>
        <v>1.9104284995202716</v>
      </c>
      <c r="M39" s="1126">
        <f t="shared" si="7"/>
        <v>9.7780926020373951</v>
      </c>
      <c r="N39" s="432">
        <f>'8.Trasmissione'!L136</f>
        <v>50.569158786666662</v>
      </c>
      <c r="O39" s="320">
        <f>'9.Ventilazione'!G88</f>
        <v>33.596175600000002</v>
      </c>
      <c r="P39" s="320">
        <f>'7.Apporti gratuiti'!L98</f>
        <v>13.399902814901758</v>
      </c>
      <c r="Q39" s="1044">
        <f>SUM('7.Apporti gratuiti'!P564:P567)</f>
        <v>1.509854781878925</v>
      </c>
      <c r="R39" s="320">
        <f t="shared" si="8"/>
        <v>69.738098960954332</v>
      </c>
    </row>
    <row r="40" spans="1:18" ht="15" customHeight="1">
      <c r="A40" s="1485"/>
      <c r="B40" s="1797"/>
      <c r="C40" s="1283" t="s">
        <v>20</v>
      </c>
      <c r="D40" s="567"/>
      <c r="E40" s="542"/>
      <c r="F40" s="542"/>
      <c r="G40" s="567"/>
      <c r="H40" s="512"/>
      <c r="I40" s="1125">
        <f>'8.Trasmissione'!H137</f>
        <v>35.643068999999997</v>
      </c>
      <c r="J40" s="1044">
        <f>'9.Ventilazione'!E89</f>
        <v>5.9661360000000005</v>
      </c>
      <c r="K40" s="1044">
        <f>'7.Apporti gratuiti'!K99</f>
        <v>32.043245861721601</v>
      </c>
      <c r="L40" s="1044">
        <f>SUM('7.Apporti gratuiti'!O555:O560)</f>
        <v>4.5614675745923714</v>
      </c>
      <c r="M40" s="1126">
        <f t="shared" si="7"/>
        <v>11.342900463420982</v>
      </c>
      <c r="N40" s="432">
        <f>'8.Trasmissione'!L137</f>
        <v>135.86609857333332</v>
      </c>
      <c r="O40" s="320">
        <f>'9.Ventilazione'!G89</f>
        <v>22.742026560000003</v>
      </c>
      <c r="P40" s="320">
        <f>'7.Apporti gratuiti'!L99</f>
        <v>33.111354057112315</v>
      </c>
      <c r="Q40" s="1044">
        <f>SUM('7.Apporti gratuiti'!P555:P560)</f>
        <v>3.6435322217825505</v>
      </c>
      <c r="R40" s="320">
        <f t="shared" si="8"/>
        <v>123.04273153462069</v>
      </c>
    </row>
    <row r="41" spans="1:18" ht="15" customHeight="1">
      <c r="A41" s="1485"/>
      <c r="B41" s="1797"/>
      <c r="C41" s="1283" t="s">
        <v>586</v>
      </c>
      <c r="D41" s="567"/>
      <c r="E41" s="542"/>
      <c r="F41" s="542"/>
      <c r="G41" s="567"/>
      <c r="H41" s="512"/>
      <c r="I41" s="1125">
        <f>'8.Trasmissione'!H138</f>
        <v>14.157296999999998</v>
      </c>
      <c r="J41" s="1044">
        <f>'9.Ventilazione'!E90</f>
        <v>6.8125050000000025</v>
      </c>
      <c r="K41" s="1044">
        <f>'7.Apporti gratuiti'!K100</f>
        <v>14.042177259080251</v>
      </c>
      <c r="L41" s="1044">
        <f>SUM('7.Apporti gratuiti'!O548:O551)</f>
        <v>1.5255655715402876</v>
      </c>
      <c r="M41" s="1126">
        <f t="shared" si="7"/>
        <v>8.0977426058327406</v>
      </c>
      <c r="N41" s="432">
        <f>'8.Trasmissione'!L138</f>
        <v>53.965518786666671</v>
      </c>
      <c r="O41" s="320">
        <f>'9.Ventilazione'!G90</f>
        <v>25.968259800000009</v>
      </c>
      <c r="P41" s="320">
        <f>'7.Apporti gratuiti'!L100</f>
        <v>14.510249834382929</v>
      </c>
      <c r="Q41" s="1044">
        <f>SUM('7.Apporti gratuiti'!P548:P551)</f>
        <v>1.2814750800938419</v>
      </c>
      <c r="R41" s="320">
        <f t="shared" si="8"/>
        <v>64.653118814677043</v>
      </c>
    </row>
    <row r="42" spans="1:18" ht="15" customHeight="1">
      <c r="A42" s="1485"/>
      <c r="B42" s="1797"/>
      <c r="C42" s="1283" t="s">
        <v>19</v>
      </c>
      <c r="D42" s="1044"/>
      <c r="E42" s="1044"/>
      <c r="F42" s="1044"/>
      <c r="G42" s="1044"/>
      <c r="H42" s="512"/>
      <c r="I42" s="1125">
        <f>'8.Trasmissione'!H139</f>
        <v>33.016302000000003</v>
      </c>
      <c r="J42" s="1044">
        <f>'9.Ventilazione'!E91</f>
        <v>2.0706515999999997</v>
      </c>
      <c r="K42" s="1044">
        <f>'7.Apporti gratuiti'!K101</f>
        <v>47.336613204815997</v>
      </c>
      <c r="L42" s="1044">
        <f>SUM('7.Apporti gratuiti'!O543:O544)</f>
        <v>0</v>
      </c>
      <c r="M42" s="1126">
        <f t="shared" si="7"/>
        <v>-4.052933493498827</v>
      </c>
      <c r="N42" s="432">
        <f>'8.Trasmissione'!L139</f>
        <v>125.85325192000001</v>
      </c>
      <c r="O42" s="320">
        <f>'9.Ventilazione'!G91</f>
        <v>7.8930171359999992</v>
      </c>
      <c r="P42" s="320">
        <f>'7.Apporti gratuiti'!L101</f>
        <v>48.914500311643195</v>
      </c>
      <c r="Q42" s="1044">
        <f>SUM('7.Apporti gratuiti'!P543:P544)</f>
        <v>0</v>
      </c>
      <c r="R42" s="320">
        <f t="shared" si="8"/>
        <v>86.414781126274633</v>
      </c>
    </row>
    <row r="43" spans="1:18" ht="15" customHeight="1">
      <c r="A43" s="1485"/>
      <c r="B43" s="1798"/>
      <c r="C43" s="1283" t="s">
        <v>588</v>
      </c>
      <c r="D43" s="1044"/>
      <c r="E43" s="1044"/>
      <c r="F43" s="1044"/>
      <c r="G43" s="1044"/>
      <c r="H43" s="512"/>
      <c r="I43" s="1125">
        <f>'8.Trasmissione'!H140</f>
        <v>7.7516999999999978</v>
      </c>
      <c r="J43" s="1044">
        <f>'9.Ventilazione'!E92</f>
        <v>4.4177400000000002</v>
      </c>
      <c r="K43" s="1044">
        <f>'7.Apporti gratuiti'!K102</f>
        <v>23.727036891744</v>
      </c>
      <c r="L43" s="1044">
        <v>0</v>
      </c>
      <c r="M43" s="1126">
        <f t="shared" si="7"/>
        <v>-7.4490642007115753</v>
      </c>
      <c r="N43" s="432">
        <f>'8.Trasmissione'!L140</f>
        <v>29.548331999999998</v>
      </c>
      <c r="O43" s="320">
        <f>'9.Ventilazione'!G92</f>
        <v>16.839770400000003</v>
      </c>
      <c r="P43" s="320">
        <f>'7.Apporti gratuiti'!L102</f>
        <v>24.517938121468795</v>
      </c>
      <c r="Q43" s="1044">
        <v>0</v>
      </c>
      <c r="R43" s="320">
        <f t="shared" si="8"/>
        <v>22.66363450470341</v>
      </c>
    </row>
    <row r="44" spans="1:18" ht="15" customHeight="1">
      <c r="A44" s="1485"/>
      <c r="B44" s="1799" t="s">
        <v>810</v>
      </c>
      <c r="C44" s="1282" t="s">
        <v>9</v>
      </c>
      <c r="D44" s="1044"/>
      <c r="E44" s="1044"/>
      <c r="F44" s="1044"/>
      <c r="G44" s="1044"/>
      <c r="H44" s="512"/>
      <c r="I44" s="1125">
        <f>'8.Trasmissione'!H141</f>
        <v>36.14341499999999</v>
      </c>
      <c r="J44" s="1044">
        <f>'9.Ventilazione'!E93</f>
        <v>6.4822680000000013</v>
      </c>
      <c r="K44" s="1044">
        <f>'7.Apporti gratuiti'!K103</f>
        <v>34.8153155183808</v>
      </c>
      <c r="L44" s="1261">
        <f>SUM('7.Apporti gratuiti'!O568:O571)</f>
        <v>3.0564509950744547</v>
      </c>
      <c r="M44" s="1126">
        <f t="shared" si="7"/>
        <v>11.31172610675144</v>
      </c>
      <c r="N44" s="432">
        <f>'8.Trasmissione'!L141</f>
        <v>137.77334340000002</v>
      </c>
      <c r="O44" s="320">
        <f>'9.Ventilazione'!G93</f>
        <v>24.709445280000004</v>
      </c>
      <c r="P44" s="320">
        <f>'7.Apporti gratuiti'!L103</f>
        <v>35.975826035660162</v>
      </c>
      <c r="Q44" s="1261">
        <f>SUM('7.Apporti gratuiti'!P568:P571)</f>
        <v>2.5548545732546728</v>
      </c>
      <c r="R44" s="320">
        <f t="shared" si="8"/>
        <v>125.1990705075616</v>
      </c>
    </row>
    <row r="45" spans="1:18" ht="15" customHeight="1">
      <c r="A45" s="1485"/>
      <c r="B45" s="1800"/>
      <c r="C45" s="1283" t="s">
        <v>804</v>
      </c>
      <c r="D45" s="1044"/>
      <c r="E45" s="1044"/>
      <c r="F45" s="1044"/>
      <c r="G45" s="1044"/>
      <c r="H45" s="512"/>
      <c r="I45" s="1125">
        <f>'8.Trasmissione'!H142</f>
        <v>122.102046</v>
      </c>
      <c r="J45" s="1044">
        <f>'9.Ventilazione'!E94</f>
        <v>16.428743999999998</v>
      </c>
      <c r="K45" s="1044">
        <f>'7.Apporti gratuiti'!K104</f>
        <v>88.236386698406392</v>
      </c>
      <c r="L45" s="1261">
        <f>SUM('7.Apporti gratuiti'!O572:O578)</f>
        <v>8.2175655459412695</v>
      </c>
      <c r="M45" s="1126">
        <f t="shared" si="7"/>
        <v>58.778637385469281</v>
      </c>
      <c r="N45" s="432">
        <f>'8.Trasmissione'!L142</f>
        <v>465.43491016000002</v>
      </c>
      <c r="O45" s="320">
        <f>'9.Ventilazione'!G94</f>
        <v>62.623938240000001</v>
      </c>
      <c r="P45" s="320">
        <f>'7.Apporti gratuiti'!L104</f>
        <v>91.177599588353274</v>
      </c>
      <c r="Q45" s="1261">
        <f>SUM('7.Apporti gratuiti'!P572:P578)</f>
        <v>6.9929264545882788</v>
      </c>
      <c r="R45" s="320">
        <f t="shared" si="8"/>
        <v>433.06539985504463</v>
      </c>
    </row>
    <row r="46" spans="1:18" ht="15" customHeight="1">
      <c r="A46" s="1485"/>
      <c r="B46" s="1800"/>
      <c r="C46" s="1283" t="s">
        <v>22</v>
      </c>
      <c r="D46" s="1044"/>
      <c r="E46" s="1044"/>
      <c r="F46" s="1044"/>
      <c r="G46" s="1044"/>
      <c r="H46" s="512"/>
      <c r="I46" s="1125">
        <f>'8.Trasmissione'!H143</f>
        <v>3.7600200000000004</v>
      </c>
      <c r="J46" s="1044">
        <f>'9.Ventilazione'!E95</f>
        <v>2.61451476</v>
      </c>
      <c r="K46" s="1044">
        <f>'7.Apporti gratuiti'!K105</f>
        <v>11.121167588664958</v>
      </c>
      <c r="L46" s="1261">
        <f>SUM('7.Apporti gratuiti'!O597:O599)</f>
        <v>1.9104284995202716</v>
      </c>
      <c r="M46" s="1126">
        <f t="shared" si="7"/>
        <v>-4.4005326773923779</v>
      </c>
      <c r="N46" s="432">
        <f>'8.Trasmissione'!L143</f>
        <v>14.332639200000001</v>
      </c>
      <c r="O46" s="320">
        <f>'9.Ventilazione'!G95</f>
        <v>9.9661429296000001</v>
      </c>
      <c r="P46" s="320">
        <f>'7.Apporti gratuiti'!L105</f>
        <v>11.491873174953792</v>
      </c>
      <c r="Q46" s="1261">
        <f>SUM('7.Apporti gratuiti'!P597:P599)</f>
        <v>1.509854781878925</v>
      </c>
      <c r="R46" s="320">
        <f t="shared" si="8"/>
        <v>11.717827076729545</v>
      </c>
    </row>
    <row r="47" spans="1:18" ht="15" customHeight="1">
      <c r="A47" s="1485"/>
      <c r="B47" s="1800"/>
      <c r="C47" s="1283" t="s">
        <v>803</v>
      </c>
      <c r="D47" s="1044"/>
      <c r="E47" s="1044"/>
      <c r="F47" s="1044"/>
      <c r="G47" s="1044"/>
      <c r="H47" s="512"/>
      <c r="I47" s="1125">
        <f>'8.Trasmissione'!H144</f>
        <v>6.2191799999999997</v>
      </c>
      <c r="J47" s="1044">
        <f>'9.Ventilazione'!E96</f>
        <v>2.4144479999999997</v>
      </c>
      <c r="K47" s="1044">
        <f>'7.Apporti gratuiti'!K106</f>
        <v>5.591123544787199</v>
      </c>
      <c r="L47" s="1261">
        <f>SUM('7.Apporti gratuiti'!O588:O590)</f>
        <v>5.0741182866695196</v>
      </c>
      <c r="M47" s="1126">
        <f t="shared" si="7"/>
        <v>-0.18483899302110096</v>
      </c>
      <c r="N47" s="432">
        <f>'8.Trasmissione'!L144</f>
        <v>23.706592799999999</v>
      </c>
      <c r="O47" s="320">
        <f>'9.Ventilazione'!G96</f>
        <v>9.203518080000002</v>
      </c>
      <c r="P47" s="320">
        <f>'7.Apporti gratuiti'!L106</f>
        <v>5.7774943296134387</v>
      </c>
      <c r="Q47" s="1261">
        <f>SUM('7.Apporti gratuiti'!P588:P590)</f>
        <v>4.3612256348233895</v>
      </c>
      <c r="R47" s="320">
        <f t="shared" si="8"/>
        <v>23.099508736214418</v>
      </c>
    </row>
    <row r="48" spans="1:18" ht="15" customHeight="1">
      <c r="A48" s="1485"/>
      <c r="B48" s="1800"/>
      <c r="C48" s="1283" t="s">
        <v>802</v>
      </c>
      <c r="D48" s="1044"/>
      <c r="E48" s="1044"/>
      <c r="F48" s="1044"/>
      <c r="G48" s="1044"/>
      <c r="H48" s="512"/>
      <c r="I48" s="1125">
        <f>'8.Trasmissione'!H145</f>
        <v>25.620011999999996</v>
      </c>
      <c r="J48" s="1044">
        <f>'9.Ventilazione'!E97</f>
        <v>1.041012</v>
      </c>
      <c r="K48" s="1044">
        <f>'7.Apporti gratuiti'!K107</f>
        <v>36.588970256328004</v>
      </c>
      <c r="L48" s="1044">
        <v>0</v>
      </c>
      <c r="M48" s="1126">
        <f t="shared" si="7"/>
        <v>-3.592263418424043</v>
      </c>
      <c r="N48" s="432">
        <f>'8.Trasmissione'!L145</f>
        <v>97.65969018666668</v>
      </c>
      <c r="O48" s="320">
        <f>'9.Ventilazione'!G97</f>
        <v>3.9681835200000002</v>
      </c>
      <c r="P48" s="320">
        <f>'7.Apporti gratuiti'!L107</f>
        <v>37.808602598205603</v>
      </c>
      <c r="Q48" s="1261">
        <v>0</v>
      </c>
      <c r="R48" s="320">
        <f t="shared" si="8"/>
        <v>65.04286504634544</v>
      </c>
    </row>
    <row r="49" spans="1:18" ht="15" customHeight="1">
      <c r="A49" s="1485"/>
      <c r="B49" s="1800"/>
      <c r="C49" s="1283" t="s">
        <v>587</v>
      </c>
      <c r="D49" s="1044"/>
      <c r="E49" s="1044"/>
      <c r="F49" s="1044"/>
      <c r="G49" s="1044"/>
      <c r="H49" s="512"/>
      <c r="I49" s="1125">
        <f>'8.Trasmissione'!H146</f>
        <v>13.266296999999996</v>
      </c>
      <c r="J49" s="1044">
        <f>'9.Ventilazione'!E98</f>
        <v>8.8136100000000006</v>
      </c>
      <c r="K49" s="1044">
        <f>'7.Apporti gratuiti'!K108</f>
        <v>12.967647885388796</v>
      </c>
      <c r="L49" s="1261">
        <f>SUM('7.Apporti gratuiti'!O600:O603)</f>
        <v>1.9163334695955963</v>
      </c>
      <c r="M49" s="1126">
        <f t="shared" si="7"/>
        <v>9.773210126372339</v>
      </c>
      <c r="N49" s="432">
        <f>'8.Trasmissione'!L146</f>
        <v>50.569158786666662</v>
      </c>
      <c r="O49" s="320">
        <f>'9.Ventilazione'!G98</f>
        <v>33.596175600000002</v>
      </c>
      <c r="P49" s="320">
        <f>'7.Apporti gratuiti'!L108</f>
        <v>13.399902814901758</v>
      </c>
      <c r="Q49" s="1261">
        <f>SUM('7.Apporti gratuiti'!P600:P603)</f>
        <v>1.5145216130674881</v>
      </c>
      <c r="R49" s="320">
        <f t="shared" si="8"/>
        <v>69.733583161699215</v>
      </c>
    </row>
    <row r="50" spans="1:18" ht="15" customHeight="1">
      <c r="A50" s="1485"/>
      <c r="B50" s="1800"/>
      <c r="C50" s="1283" t="s">
        <v>20</v>
      </c>
      <c r="D50" s="1044"/>
      <c r="E50" s="1044"/>
      <c r="F50" s="1044"/>
      <c r="G50" s="1044"/>
      <c r="H50" s="512"/>
      <c r="I50" s="1125">
        <f>'8.Trasmissione'!H147</f>
        <v>35.643068999999997</v>
      </c>
      <c r="J50" s="1044">
        <f>'9.Ventilazione'!E99</f>
        <v>5.9661360000000005</v>
      </c>
      <c r="K50" s="1044">
        <f>'7.Apporti gratuiti'!K109</f>
        <v>32.043245861721601</v>
      </c>
      <c r="L50" s="1261">
        <f>SUM('7.Apporti gratuiti'!O591:O596)</f>
        <v>8.9115935586363335</v>
      </c>
      <c r="M50" s="1126">
        <f t="shared" si="7"/>
        <v>7.7460347746721823</v>
      </c>
      <c r="N50" s="432">
        <f>'8.Trasmissione'!L147</f>
        <v>135.86609857333332</v>
      </c>
      <c r="O50" s="320">
        <f>'9.Ventilazione'!G99</f>
        <v>22.742026560000003</v>
      </c>
      <c r="P50" s="320">
        <f>'7.Apporti gratuiti'!L109</f>
        <v>33.111354057112315</v>
      </c>
      <c r="Q50" s="1261">
        <f>SUM('7.Apporti gratuiti'!P591:P596)</f>
        <v>7.3975997316417406</v>
      </c>
      <c r="R50" s="320">
        <f t="shared" si="8"/>
        <v>119.41015632894124</v>
      </c>
    </row>
    <row r="51" spans="1:18" ht="15" customHeight="1">
      <c r="A51" s="1485"/>
      <c r="B51" s="1800"/>
      <c r="C51" s="1283" t="s">
        <v>586</v>
      </c>
      <c r="D51" s="1044"/>
      <c r="E51" s="1044"/>
      <c r="F51" s="1044"/>
      <c r="G51" s="1044"/>
      <c r="H51" s="512"/>
      <c r="I51" s="1125">
        <f>'8.Trasmissione'!H148</f>
        <v>14.157296999999998</v>
      </c>
      <c r="J51" s="1044">
        <f>'9.Ventilazione'!E100</f>
        <v>6.8125050000000025</v>
      </c>
      <c r="K51" s="1044">
        <f>'7.Apporti gratuiti'!K110</f>
        <v>14.042177259080251</v>
      </c>
      <c r="L51" s="1261">
        <f>SUM('7.Apporti gratuiti'!O584:O587)</f>
        <v>10.13177340792166</v>
      </c>
      <c r="M51" s="1126">
        <f t="shared" si="7"/>
        <v>0.98177084077031651</v>
      </c>
      <c r="N51" s="432">
        <f>'8.Trasmissione'!L148</f>
        <v>53.965518786666671</v>
      </c>
      <c r="O51" s="320">
        <f>'9.Ventilazione'!G100</f>
        <v>25.968259800000009</v>
      </c>
      <c r="P51" s="320">
        <f>'7.Apporti gratuiti'!L110</f>
        <v>14.510249834382929</v>
      </c>
      <c r="Q51" s="1261">
        <f>SUM('7.Apporti gratuiti'!P584:P587)</f>
        <v>8.7083011109409316</v>
      </c>
      <c r="R51" s="320">
        <f t="shared" si="8"/>
        <v>57.46664600200198</v>
      </c>
    </row>
    <row r="52" spans="1:18" ht="15" customHeight="1">
      <c r="A52" s="1485"/>
      <c r="B52" s="1800"/>
      <c r="C52" s="1283" t="s">
        <v>19</v>
      </c>
      <c r="D52" s="1044"/>
      <c r="E52" s="1044"/>
      <c r="F52" s="1044"/>
      <c r="G52" s="1044"/>
      <c r="H52" s="512"/>
      <c r="I52" s="1125">
        <f>'8.Trasmissione'!H149</f>
        <v>33.016302000000003</v>
      </c>
      <c r="J52" s="1044">
        <f>'9.Ventilazione'!E101</f>
        <v>2.0706515999999997</v>
      </c>
      <c r="K52" s="1044">
        <f>'7.Apporti gratuiti'!K111</f>
        <v>47.336613204815997</v>
      </c>
      <c r="L52" s="1044">
        <v>0</v>
      </c>
      <c r="M52" s="1126">
        <f t="shared" si="7"/>
        <v>-4.052933493498827</v>
      </c>
      <c r="N52" s="432">
        <f>'8.Trasmissione'!L149</f>
        <v>125.85325192000001</v>
      </c>
      <c r="O52" s="320">
        <f>'9.Ventilazione'!G101</f>
        <v>7.8930171359999992</v>
      </c>
      <c r="P52" s="320">
        <f>'7.Apporti gratuiti'!L111</f>
        <v>48.914500311643195</v>
      </c>
      <c r="Q52" s="1261">
        <v>0</v>
      </c>
      <c r="R52" s="320">
        <f t="shared" si="8"/>
        <v>86.414781126274633</v>
      </c>
    </row>
    <row r="53" spans="1:18" ht="15" customHeight="1">
      <c r="A53" s="1486"/>
      <c r="B53" s="1801"/>
      <c r="C53" s="1283" t="s">
        <v>588</v>
      </c>
      <c r="D53" s="1044"/>
      <c r="E53" s="1044"/>
      <c r="F53" s="1044"/>
      <c r="G53" s="1044"/>
      <c r="H53" s="512"/>
      <c r="I53" s="1125">
        <f>'8.Trasmissione'!H150</f>
        <v>7.7516999999999978</v>
      </c>
      <c r="J53" s="1044">
        <f>'9.Ventilazione'!E102</f>
        <v>4.4177400000000002</v>
      </c>
      <c r="K53" s="1044">
        <f>'7.Apporti gratuiti'!K112</f>
        <v>23.727036891744</v>
      </c>
      <c r="L53" s="1044">
        <v>0</v>
      </c>
      <c r="M53" s="1126">
        <f t="shared" si="7"/>
        <v>-7.4490642007115753</v>
      </c>
      <c r="N53" s="432">
        <f>'8.Trasmissione'!L150</f>
        <v>29.548331999999998</v>
      </c>
      <c r="O53" s="320">
        <f>'9.Ventilazione'!G102</f>
        <v>16.839770400000003</v>
      </c>
      <c r="P53" s="320">
        <f>'7.Apporti gratuiti'!L112</f>
        <v>24.517938121468795</v>
      </c>
      <c r="Q53" s="1261">
        <v>0</v>
      </c>
      <c r="R53" s="320">
        <f t="shared" si="8"/>
        <v>22.66363450470341</v>
      </c>
    </row>
    <row r="54" spans="1:18" ht="15" customHeight="1">
      <c r="A54" s="1369" t="s">
        <v>835</v>
      </c>
      <c r="B54" s="1796" t="s">
        <v>809</v>
      </c>
      <c r="C54" s="1282" t="s">
        <v>9</v>
      </c>
      <c r="D54" s="1044"/>
      <c r="E54" s="1044"/>
      <c r="F54" s="1044"/>
      <c r="G54" s="1044"/>
      <c r="H54" s="512"/>
      <c r="I54" s="1125">
        <f>'8.Trasmissione'!H151</f>
        <v>27.197774999999996</v>
      </c>
      <c r="J54" s="1044">
        <f>'9.Ventilazione'!E103</f>
        <v>6.4822680000000013</v>
      </c>
      <c r="K54" s="1044">
        <f>'7.Apporti gratuiti'!K113</f>
        <v>34.8153155183808</v>
      </c>
      <c r="L54" s="1273">
        <f>SUM('7.Apporti gratuiti'!O604:O607)</f>
        <v>7.6103364463027576</v>
      </c>
      <c r="M54" s="1126">
        <f t="shared" si="7"/>
        <v>-1.3992564120848883</v>
      </c>
      <c r="N54" s="432">
        <f>'8.Trasmissione'!L151</f>
        <v>103.67388900000002</v>
      </c>
      <c r="O54" s="320">
        <f>'9.Ventilazione'!G103</f>
        <v>24.709445280000004</v>
      </c>
      <c r="P54" s="320">
        <f>'7.Apporti gratuiti'!L113</f>
        <v>35.975826035660162</v>
      </c>
      <c r="Q54" s="1273">
        <f>SUM('7.Apporti gratuiti'!P604:P607)</f>
        <v>6.0877303625376396</v>
      </c>
      <c r="R54" s="320">
        <f t="shared" si="8"/>
        <v>87.681074229134936</v>
      </c>
    </row>
    <row r="55" spans="1:18" ht="15" customHeight="1">
      <c r="A55" s="1370"/>
      <c r="B55" s="1797"/>
      <c r="C55" s="1283" t="s">
        <v>804</v>
      </c>
      <c r="D55" s="1044"/>
      <c r="E55" s="1044"/>
      <c r="F55" s="1044"/>
      <c r="G55" s="1044"/>
      <c r="H55" s="512"/>
      <c r="I55" s="1125">
        <f>'8.Trasmissione'!H152</f>
        <v>99.452826000000002</v>
      </c>
      <c r="J55" s="1044">
        <f>'9.Ventilazione'!E104</f>
        <v>16.428743999999998</v>
      </c>
      <c r="K55" s="1044">
        <f>'7.Apporti gratuiti'!K114</f>
        <v>88.236386698406392</v>
      </c>
      <c r="L55" s="1273">
        <f>SUM('7.Apporti gratuiti'!O582:O588)</f>
        <v>10.19762606959118</v>
      </c>
      <c r="M55" s="1126">
        <f t="shared" si="7"/>
        <v>34.492220719146161</v>
      </c>
      <c r="N55" s="432">
        <f>'8.Trasmissione'!L152</f>
        <v>379.0994389600001</v>
      </c>
      <c r="O55" s="320">
        <f>'9.Ventilazione'!G104</f>
        <v>62.623938240000001</v>
      </c>
      <c r="P55" s="320">
        <f>'7.Apporti gratuiti'!L114</f>
        <v>91.177599588353274</v>
      </c>
      <c r="Q55" s="1273">
        <f>SUM('7.Apporti gratuiti'!P582:P588)</f>
        <v>8.7649017457643197</v>
      </c>
      <c r="R55" s="320">
        <f t="shared" si="8"/>
        <v>345.0152995252015</v>
      </c>
    </row>
    <row r="56" spans="1:18" ht="15" customHeight="1">
      <c r="A56" s="1370"/>
      <c r="B56" s="1797"/>
      <c r="C56" s="1283" t="s">
        <v>22</v>
      </c>
      <c r="D56" s="1044"/>
      <c r="E56" s="1044"/>
      <c r="F56" s="1044"/>
      <c r="G56" s="1044"/>
      <c r="H56" s="512"/>
      <c r="I56" s="1125">
        <f>'8.Trasmissione'!H153</f>
        <v>0.90882000000000007</v>
      </c>
      <c r="J56" s="1044">
        <f>'9.Ventilazione'!E105</f>
        <v>2.61451476</v>
      </c>
      <c r="K56" s="1044">
        <f>'7.Apporti gratuiti'!K115</f>
        <v>11.121167588664958</v>
      </c>
      <c r="L56" s="1273">
        <f>SUM('7.Apporti gratuiti'!O633:O635)</f>
        <v>9.3591343328536034</v>
      </c>
      <c r="M56" s="1126">
        <f t="shared" si="7"/>
        <v>-13.410633485270441</v>
      </c>
      <c r="N56" s="432">
        <f>'8.Trasmissione'!L153</f>
        <v>3.4642872000000007</v>
      </c>
      <c r="O56" s="320">
        <f>'9.Ventilazione'!G105</f>
        <v>9.9661429296000001</v>
      </c>
      <c r="P56" s="320">
        <f>'7.Apporti gratuiti'!L115</f>
        <v>11.491873174953792</v>
      </c>
      <c r="Q56" s="1273">
        <f>SUM('7.Apporti gratuiti'!P633:P635)</f>
        <v>7.396735198545592</v>
      </c>
      <c r="R56" s="320">
        <f t="shared" si="8"/>
        <v>-4.8468891426729179</v>
      </c>
    </row>
    <row r="57" spans="1:18" ht="15" customHeight="1">
      <c r="A57" s="1370"/>
      <c r="B57" s="1797"/>
      <c r="C57" s="1283" t="s">
        <v>803</v>
      </c>
      <c r="D57" s="1044"/>
      <c r="E57" s="1044"/>
      <c r="F57" s="1044"/>
      <c r="G57" s="1044"/>
      <c r="H57" s="512"/>
      <c r="I57" s="1125">
        <f>'8.Trasmissione'!H154</f>
        <v>4.7757599999999991</v>
      </c>
      <c r="J57" s="1044">
        <f>'9.Ventilazione'!E106</f>
        <v>2.4144479999999997</v>
      </c>
      <c r="K57" s="1044">
        <f>'7.Apporti gratuiti'!K116</f>
        <v>5.591123544787199</v>
      </c>
      <c r="L57" s="1273">
        <f>SUM('7.Apporti gratuiti'!O624:O626)</f>
        <v>3.7679939426658784</v>
      </c>
      <c r="M57" s="1126">
        <f t="shared" si="7"/>
        <v>-0.54830088251623632</v>
      </c>
      <c r="N57" s="432">
        <f>'8.Trasmissione'!L154</f>
        <v>18.204489600000002</v>
      </c>
      <c r="O57" s="320">
        <f>'9.Ventilazione'!G106</f>
        <v>9.203518080000002</v>
      </c>
      <c r="P57" s="320">
        <f>'7.Apporti gratuiti'!L116</f>
        <v>5.7774943296134387</v>
      </c>
      <c r="Q57" s="1273">
        <f>SUM('7.Apporti gratuiti'!P624:P626)</f>
        <v>3.1651149118393387</v>
      </c>
      <c r="R57" s="320">
        <f t="shared" si="8"/>
        <v>18.754806713510281</v>
      </c>
    </row>
    <row r="58" spans="1:18" ht="15" customHeight="1">
      <c r="A58" s="1370"/>
      <c r="B58" s="1797"/>
      <c r="C58" s="1283" t="s">
        <v>802</v>
      </c>
      <c r="D58" s="1044"/>
      <c r="E58" s="1044"/>
      <c r="F58" s="1044"/>
      <c r="G58" s="1044"/>
      <c r="H58" s="512"/>
      <c r="I58" s="1125">
        <f>'8.Trasmissione'!H155</f>
        <v>16.228871999999999</v>
      </c>
      <c r="J58" s="1044">
        <f>'9.Ventilazione'!E107</f>
        <v>1.041012</v>
      </c>
      <c r="K58" s="1044">
        <f>'7.Apporti gratuiti'!K117</f>
        <v>36.588970256328004</v>
      </c>
      <c r="L58" s="1273">
        <v>0</v>
      </c>
      <c r="M58" s="1126">
        <f t="shared" si="7"/>
        <v>-12.983403418424039</v>
      </c>
      <c r="N58" s="432">
        <f>'8.Trasmissione'!L155</f>
        <v>61.862055786666666</v>
      </c>
      <c r="O58" s="320">
        <f>'9.Ventilazione'!G107</f>
        <v>3.9681835200000002</v>
      </c>
      <c r="P58" s="320">
        <f>'7.Apporti gratuiti'!L117</f>
        <v>37.808602598205603</v>
      </c>
      <c r="Q58" s="1273">
        <v>0</v>
      </c>
      <c r="R58" s="320">
        <f t="shared" si="8"/>
        <v>29.245230646345426</v>
      </c>
    </row>
    <row r="59" spans="1:18" ht="15" customHeight="1">
      <c r="A59" s="1370"/>
      <c r="B59" s="1797"/>
      <c r="C59" s="1283" t="s">
        <v>587</v>
      </c>
      <c r="D59" s="1044"/>
      <c r="E59" s="1044"/>
      <c r="F59" s="1044"/>
      <c r="G59" s="1044"/>
      <c r="H59" s="512"/>
      <c r="I59" s="1125">
        <f>'8.Trasmissione'!H156</f>
        <v>9.9339569999999977</v>
      </c>
      <c r="J59" s="1044">
        <f>'9.Ventilazione'!E108</f>
        <v>8.8136100000000006</v>
      </c>
      <c r="K59" s="1044">
        <f>'7.Apporti gratuiti'!K118</f>
        <v>12.967647885388796</v>
      </c>
      <c r="L59" s="1273">
        <f>SUM('7.Apporti gratuiti'!O636:O639)</f>
        <v>9.3650393029289276</v>
      </c>
      <c r="M59" s="1126">
        <f t="shared" si="7"/>
        <v>0.28196931849427287</v>
      </c>
      <c r="N59" s="432">
        <f>'8.Trasmissione'!L156</f>
        <v>37.866772386666661</v>
      </c>
      <c r="O59" s="320">
        <f>'9.Ventilazione'!G108</f>
        <v>33.596175600000002</v>
      </c>
      <c r="P59" s="320">
        <f>'7.Apporti gratuiti'!L118</f>
        <v>13.399902814901758</v>
      </c>
      <c r="Q59" s="1273">
        <f>SUM('7.Apporti gratuiti'!P636:P639)</f>
        <v>7.4014020297341547</v>
      </c>
      <c r="R59" s="320">
        <f t="shared" si="8"/>
        <v>51.334832542296738</v>
      </c>
    </row>
    <row r="60" spans="1:18" ht="15" customHeight="1">
      <c r="A60" s="1370"/>
      <c r="B60" s="1797"/>
      <c r="C60" s="1283" t="s">
        <v>20</v>
      </c>
      <c r="D60" s="1044"/>
      <c r="E60" s="1044"/>
      <c r="F60" s="1044"/>
      <c r="G60" s="1044"/>
      <c r="H60" s="512"/>
      <c r="I60" s="1125">
        <f>'8.Trasmissione'!H157</f>
        <v>27.410228999999994</v>
      </c>
      <c r="J60" s="1044">
        <f>'9.Ventilazione'!E109</f>
        <v>5.9661360000000005</v>
      </c>
      <c r="K60" s="1044">
        <f>'7.Apporti gratuiti'!K119</f>
        <v>32.043245861721601</v>
      </c>
      <c r="L60" s="1273">
        <f>SUM('7.Apporti gratuiti'!O627:O632)</f>
        <v>22.462389657925698</v>
      </c>
      <c r="M60" s="1126">
        <f t="shared" si="7"/>
        <v>-11.69116889744727</v>
      </c>
      <c r="N60" s="432">
        <f>'8.Trasmissione'!L157</f>
        <v>104.48373217333332</v>
      </c>
      <c r="O60" s="320">
        <f>'9.Ventilazione'!G109</f>
        <v>22.742026560000003</v>
      </c>
      <c r="P60" s="320">
        <f>'7.Apporti gratuiti'!L119</f>
        <v>33.111354057112315</v>
      </c>
      <c r="Q60" s="1273">
        <f>SUM('7.Apporti gratuiti'!P627:P632)</f>
        <v>17.940241805115885</v>
      </c>
      <c r="R60" s="320">
        <f t="shared" si="8"/>
        <v>77.826337744643283</v>
      </c>
    </row>
    <row r="61" spans="1:18" ht="15" customHeight="1">
      <c r="A61" s="1370"/>
      <c r="B61" s="1797"/>
      <c r="C61" s="1283" t="s">
        <v>586</v>
      </c>
      <c r="D61" s="1044"/>
      <c r="E61" s="1044"/>
      <c r="F61" s="1044"/>
      <c r="G61" s="1044"/>
      <c r="H61" s="512"/>
      <c r="I61" s="1125">
        <f>'8.Trasmissione'!H158</f>
        <v>10.557656999999997</v>
      </c>
      <c r="J61" s="1044">
        <f>'9.Ventilazione'!E110</f>
        <v>6.8125050000000025</v>
      </c>
      <c r="K61" s="1044">
        <f>'7.Apporti gratuiti'!K120</f>
        <v>14.042177259080251</v>
      </c>
      <c r="L61" s="1273">
        <f>SUM('7.Apporti gratuiti'!O620:O623)</f>
        <v>7.5338109378385489</v>
      </c>
      <c r="M61" s="1126">
        <f t="shared" si="7"/>
        <v>-0.46976537934509111</v>
      </c>
      <c r="N61" s="432">
        <f>'8.Trasmissione'!L158</f>
        <v>40.244224386666659</v>
      </c>
      <c r="O61" s="320">
        <f>'9.Ventilazione'!G110</f>
        <v>25.968259800000009</v>
      </c>
      <c r="P61" s="320">
        <f>'7.Apporti gratuiti'!L120</f>
        <v>14.510249834382929</v>
      </c>
      <c r="Q61" s="1273">
        <f>SUM('7.Apporti gratuiti'!P620:P623)</f>
        <v>6.3284011877843831</v>
      </c>
      <c r="R61" s="320">
        <f t="shared" si="8"/>
        <v>46.04823119331256</v>
      </c>
    </row>
    <row r="62" spans="1:18" ht="15" customHeight="1">
      <c r="A62" s="1370"/>
      <c r="B62" s="1797"/>
      <c r="C62" s="1283" t="s">
        <v>19</v>
      </c>
      <c r="D62" s="1044"/>
      <c r="E62" s="1044"/>
      <c r="F62" s="1044"/>
      <c r="G62" s="1044"/>
      <c r="H62" s="512"/>
      <c r="I62" s="1125">
        <f>'8.Trasmissione'!H159</f>
        <v>20.863062000000003</v>
      </c>
      <c r="J62" s="1044">
        <f>'9.Ventilazione'!E111</f>
        <v>2.0706515999999997</v>
      </c>
      <c r="K62" s="1044">
        <f>'7.Apporti gratuiti'!K121</f>
        <v>47.336613204815997</v>
      </c>
      <c r="L62" s="1273">
        <v>0</v>
      </c>
      <c r="M62" s="1126">
        <f t="shared" si="7"/>
        <v>-16.206173493498824</v>
      </c>
      <c r="N62" s="432">
        <f>'8.Trasmissione'!L159</f>
        <v>79.52690152000001</v>
      </c>
      <c r="O62" s="320">
        <f>'9.Ventilazione'!G111</f>
        <v>7.8930171359999992</v>
      </c>
      <c r="P62" s="320">
        <f>'7.Apporti gratuiti'!L121</f>
        <v>48.914500311643195</v>
      </c>
      <c r="Q62" s="1273">
        <v>0</v>
      </c>
      <c r="R62" s="320">
        <f t="shared" si="8"/>
        <v>40.088430726274623</v>
      </c>
    </row>
    <row r="63" spans="1:18" ht="15" customHeight="1">
      <c r="A63" s="1370"/>
      <c r="B63" s="1798"/>
      <c r="C63" s="1283" t="s">
        <v>588</v>
      </c>
      <c r="D63" s="1044"/>
      <c r="E63" s="1044"/>
      <c r="F63" s="1044"/>
      <c r="G63" s="1044"/>
      <c r="H63" s="512"/>
      <c r="I63" s="1125">
        <f>'8.Trasmissione'!H160</f>
        <v>1.6572600000000002</v>
      </c>
      <c r="J63" s="1044">
        <f>'9.Ventilazione'!E112</f>
        <v>4.4177400000000002</v>
      </c>
      <c r="K63" s="1044">
        <f>'7.Apporti gratuiti'!K122</f>
        <v>23.727036891744</v>
      </c>
      <c r="L63" s="1273">
        <v>0</v>
      </c>
      <c r="M63" s="1126">
        <f t="shared" si="7"/>
        <v>-13.543504200711574</v>
      </c>
      <c r="N63" s="432">
        <f>'8.Trasmissione'!L160</f>
        <v>6.3172296000000019</v>
      </c>
      <c r="O63" s="320">
        <f>'9.Ventilazione'!G112</f>
        <v>16.839770400000003</v>
      </c>
      <c r="P63" s="320">
        <f>'7.Apporti gratuiti'!L122</f>
        <v>24.517938121468795</v>
      </c>
      <c r="Q63" s="1273">
        <v>0</v>
      </c>
      <c r="R63" s="320">
        <f t="shared" si="8"/>
        <v>-0.5674678952965877</v>
      </c>
    </row>
    <row r="64" spans="1:18" ht="15" customHeight="1">
      <c r="A64" s="1370"/>
      <c r="B64" s="1799" t="s">
        <v>810</v>
      </c>
      <c r="C64" s="1282" t="s">
        <v>9</v>
      </c>
      <c r="D64" s="1044"/>
      <c r="E64" s="1044"/>
      <c r="F64" s="1044"/>
      <c r="G64" s="1044"/>
      <c r="H64" s="512"/>
      <c r="I64" s="1125">
        <f>'8.Trasmissione'!H161</f>
        <v>27.197774999999996</v>
      </c>
      <c r="J64" s="1044">
        <f>'9.Ventilazione'!E113</f>
        <v>6.4822680000000013</v>
      </c>
      <c r="K64" s="1044">
        <f>'7.Apporti gratuiti'!K123</f>
        <v>34.8153155183808</v>
      </c>
      <c r="L64" s="1273">
        <f>SUM('7.Apporti gratuiti'!O640:O643)</f>
        <v>14.830211828407784</v>
      </c>
      <c r="M64" s="1126">
        <f t="shared" si="7"/>
        <v>-7.3689506540880743</v>
      </c>
      <c r="N64" s="432">
        <f>'8.Trasmissione'!L161</f>
        <v>103.67388900000002</v>
      </c>
      <c r="O64" s="320">
        <f>'9.Ventilazione'!G113</f>
        <v>24.709445280000004</v>
      </c>
      <c r="P64" s="320">
        <f>'7.Apporti gratuiti'!L123</f>
        <v>35.975826035660162</v>
      </c>
      <c r="Q64" s="1273">
        <f>SUM('7.Apporti gratuiti'!P640:P643)</f>
        <v>12.406368739921337</v>
      </c>
      <c r="R64" s="320">
        <f t="shared" si="8"/>
        <v>81.566924964888074</v>
      </c>
    </row>
    <row r="65" spans="1:18" ht="15" customHeight="1">
      <c r="A65" s="1370"/>
      <c r="B65" s="1800"/>
      <c r="C65" s="1283" t="s">
        <v>804</v>
      </c>
      <c r="D65" s="1044"/>
      <c r="E65" s="1044"/>
      <c r="F65" s="1044"/>
      <c r="G65" s="1044"/>
      <c r="H65" s="512"/>
      <c r="I65" s="1125">
        <f>'8.Trasmissione'!H162</f>
        <v>99.452826000000002</v>
      </c>
      <c r="J65" s="1044">
        <f>'9.Ventilazione'!E114</f>
        <v>16.428743999999998</v>
      </c>
      <c r="K65" s="1044">
        <f>'7.Apporti gratuiti'!K124</f>
        <v>88.236386698406392</v>
      </c>
      <c r="L65" s="1273">
        <f>SUM('7.Apporti gratuiti'!O644:O649)</f>
        <v>14.983060754274598</v>
      </c>
      <c r="M65" s="1126">
        <f t="shared" si="7"/>
        <v>30.535423631838555</v>
      </c>
      <c r="N65" s="432">
        <f>'8.Trasmissione'!L162</f>
        <v>379.0994389600001</v>
      </c>
      <c r="O65" s="320">
        <f>'9.Ventilazione'!G114</f>
        <v>62.623938240000001</v>
      </c>
      <c r="P65" s="320">
        <f>'7.Apporti gratuiti'!L124</f>
        <v>91.177599588353274</v>
      </c>
      <c r="Q65" s="1273">
        <f>SUM('7.Apporti gratuiti'!P644:P649)</f>
        <v>12.539815621254942</v>
      </c>
      <c r="R65" s="320">
        <f t="shared" si="8"/>
        <v>341.36255260158612</v>
      </c>
    </row>
    <row r="66" spans="1:18" ht="15" customHeight="1">
      <c r="A66" s="1370"/>
      <c r="B66" s="1800"/>
      <c r="C66" s="1283" t="s">
        <v>22</v>
      </c>
      <c r="D66" s="1044"/>
      <c r="E66" s="1044"/>
      <c r="F66" s="1044"/>
      <c r="G66" s="1044"/>
      <c r="H66" s="512"/>
      <c r="I66" s="1125">
        <f>'8.Trasmissione'!H163</f>
        <v>0.90882000000000007</v>
      </c>
      <c r="J66" s="1044">
        <f>'9.Ventilazione'!E115</f>
        <v>2.61451476</v>
      </c>
      <c r="K66" s="1044">
        <f>'7.Apporti gratuiti'!K125</f>
        <v>11.121167588664958</v>
      </c>
      <c r="L66" s="1273">
        <f>SUM('7.Apporti gratuiti'!O669:O671)</f>
        <v>9.3591343328536034</v>
      </c>
      <c r="M66" s="1126">
        <f t="shared" si="7"/>
        <v>-13.410633485270441</v>
      </c>
      <c r="N66" s="432">
        <f>'8.Trasmissione'!L163</f>
        <v>3.4642872000000007</v>
      </c>
      <c r="O66" s="320">
        <f>'9.Ventilazione'!G115</f>
        <v>9.9661429296000001</v>
      </c>
      <c r="P66" s="320">
        <f>'7.Apporti gratuiti'!L125</f>
        <v>11.491873174953792</v>
      </c>
      <c r="Q66" s="1273">
        <f>SUM('7.Apporti gratuiti'!P669:P671)</f>
        <v>7.396735198545592</v>
      </c>
      <c r="R66" s="320">
        <f t="shared" si="8"/>
        <v>-4.8468891426729179</v>
      </c>
    </row>
    <row r="67" spans="1:18" ht="15" customHeight="1">
      <c r="A67" s="1370"/>
      <c r="B67" s="1800"/>
      <c r="C67" s="1283" t="s">
        <v>803</v>
      </c>
      <c r="D67" s="1044"/>
      <c r="E67" s="1044"/>
      <c r="F67" s="1044"/>
      <c r="G67" s="1044"/>
      <c r="H67" s="512"/>
      <c r="I67" s="1125">
        <f>'8.Trasmissione'!H164</f>
        <v>4.7757599999999991</v>
      </c>
      <c r="J67" s="1044">
        <f>'9.Ventilazione'!E116</f>
        <v>2.4144479999999997</v>
      </c>
      <c r="K67" s="1044">
        <f>'7.Apporti gratuiti'!K126</f>
        <v>5.591123544787199</v>
      </c>
      <c r="L67" s="1273">
        <f>SUM('7.Apporti gratuiti'!O660:O660)</f>
        <v>6.5852661669519669E-2</v>
      </c>
      <c r="M67" s="1126">
        <f t="shared" si="7"/>
        <v>2.5127840141877051</v>
      </c>
      <c r="N67" s="432">
        <f>'8.Trasmissione'!L164</f>
        <v>18.204489600000002</v>
      </c>
      <c r="O67" s="320">
        <f>'9.Ventilazione'!G116</f>
        <v>9.203518080000002</v>
      </c>
      <c r="P67" s="320">
        <f>'7.Apporti gratuiti'!L126</f>
        <v>5.7774943296134387</v>
      </c>
      <c r="Q67" s="1273">
        <f>SUM('7.Apporti gratuiti'!P660:P660)</f>
        <v>5.6600634823388826E-2</v>
      </c>
      <c r="R67" s="320">
        <f t="shared" si="8"/>
        <v>21.762720625429314</v>
      </c>
    </row>
    <row r="68" spans="1:18" ht="15" customHeight="1">
      <c r="A68" s="1370"/>
      <c r="B68" s="1800"/>
      <c r="C68" s="1283" t="s">
        <v>802</v>
      </c>
      <c r="D68" s="1044"/>
      <c r="E68" s="1044"/>
      <c r="F68" s="1044"/>
      <c r="G68" s="1044"/>
      <c r="H68" s="512"/>
      <c r="I68" s="1125">
        <f>'8.Trasmissione'!H165</f>
        <v>16.228871999999999</v>
      </c>
      <c r="J68" s="1044">
        <f>'9.Ventilazione'!E117</f>
        <v>1.041012</v>
      </c>
      <c r="K68" s="1044">
        <f>'7.Apporti gratuiti'!K127</f>
        <v>36.588970256328004</v>
      </c>
      <c r="L68" s="1273">
        <v>0</v>
      </c>
      <c r="M68" s="1126">
        <f t="shared" si="7"/>
        <v>-12.983403418424039</v>
      </c>
      <c r="N68" s="432">
        <f>'8.Trasmissione'!L165</f>
        <v>61.862055786666666</v>
      </c>
      <c r="O68" s="320">
        <f>'9.Ventilazione'!G117</f>
        <v>3.9681835200000002</v>
      </c>
      <c r="P68" s="320">
        <f>'7.Apporti gratuiti'!L127</f>
        <v>37.808602598205603</v>
      </c>
      <c r="Q68" s="1273">
        <v>0</v>
      </c>
      <c r="R68" s="320">
        <f t="shared" si="8"/>
        <v>29.245230646345426</v>
      </c>
    </row>
    <row r="69" spans="1:18" ht="15" customHeight="1">
      <c r="A69" s="1370"/>
      <c r="B69" s="1800"/>
      <c r="C69" s="1283" t="s">
        <v>587</v>
      </c>
      <c r="D69" s="1044"/>
      <c r="E69" s="1044"/>
      <c r="F69" s="1044"/>
      <c r="G69" s="1044"/>
      <c r="H69" s="512"/>
      <c r="I69" s="1125">
        <f>'8.Trasmissione'!H166</f>
        <v>9.9339569999999977</v>
      </c>
      <c r="J69" s="1044">
        <f>'9.Ventilazione'!E118</f>
        <v>8.8136100000000006</v>
      </c>
      <c r="K69" s="1044">
        <f>'7.Apporti gratuiti'!K128</f>
        <v>12.967647885388796</v>
      </c>
      <c r="L69" s="1273">
        <f>SUM('7.Apporti gratuiti'!O672:O675)</f>
        <v>9.3650393029289276</v>
      </c>
      <c r="M69" s="1126">
        <f t="shared" si="7"/>
        <v>0.28196931849427287</v>
      </c>
      <c r="N69" s="432">
        <f>'8.Trasmissione'!L166</f>
        <v>37.866772386666661</v>
      </c>
      <c r="O69" s="320">
        <f>'9.Ventilazione'!G118</f>
        <v>33.596175600000002</v>
      </c>
      <c r="P69" s="320">
        <f>'7.Apporti gratuiti'!L128</f>
        <v>13.399902814901758</v>
      </c>
      <c r="Q69" s="1273">
        <f>SUM('7.Apporti gratuiti'!P672:P675)</f>
        <v>7.4014020297341547</v>
      </c>
      <c r="R69" s="320">
        <f t="shared" si="8"/>
        <v>51.334832542296738</v>
      </c>
    </row>
    <row r="70" spans="1:18" ht="15" customHeight="1">
      <c r="A70" s="1370"/>
      <c r="B70" s="1800"/>
      <c r="C70" s="1283" t="s">
        <v>20</v>
      </c>
      <c r="D70" s="1044"/>
      <c r="E70" s="1044"/>
      <c r="F70" s="1044"/>
      <c r="G70" s="1044"/>
      <c r="H70" s="512"/>
      <c r="I70" s="1125">
        <f>'8.Trasmissione'!H167</f>
        <v>27.410228999999994</v>
      </c>
      <c r="J70" s="1044">
        <f>'9.Ventilazione'!E119</f>
        <v>5.9661360000000005</v>
      </c>
      <c r="K70" s="1044">
        <f>'7.Apporti gratuiti'!K129</f>
        <v>32.043245861721601</v>
      </c>
      <c r="L70" s="1273">
        <f>SUM('7.Apporti gratuiti'!O663:O668)</f>
        <v>43.842067725302996</v>
      </c>
      <c r="M70" s="1126">
        <f t="shared" si="7"/>
        <v>-29.368778869919183</v>
      </c>
      <c r="N70" s="432">
        <f>'8.Trasmissione'!L167</f>
        <v>104.48373217333332</v>
      </c>
      <c r="O70" s="320">
        <f>'9.Ventilazione'!G119</f>
        <v>22.742026560000003</v>
      </c>
      <c r="P70" s="320">
        <f>'7.Apporti gratuiti'!L129</f>
        <v>33.111354057112315</v>
      </c>
      <c r="Q70" s="1273">
        <f>SUM('7.Apporti gratuiti'!P663:P668)</f>
        <v>36.389860564975081</v>
      </c>
      <c r="R70" s="320">
        <f t="shared" si="8"/>
        <v>59.973801133276737</v>
      </c>
    </row>
    <row r="71" spans="1:18" ht="15" customHeight="1">
      <c r="A71" s="1370"/>
      <c r="B71" s="1800"/>
      <c r="C71" s="1283" t="s">
        <v>586</v>
      </c>
      <c r="D71" s="1044"/>
      <c r="E71" s="1044"/>
      <c r="F71" s="1044"/>
      <c r="G71" s="1044"/>
      <c r="H71" s="512"/>
      <c r="I71" s="1125">
        <f>'8.Trasmissione'!H168</f>
        <v>10.557656999999997</v>
      </c>
      <c r="J71" s="1044">
        <f>'9.Ventilazione'!E120</f>
        <v>6.8125050000000025</v>
      </c>
      <c r="K71" s="1044">
        <f>'7.Apporti gratuiti'!K130</f>
        <v>14.042177259080251</v>
      </c>
      <c r="L71" s="1273">
        <f>SUM('7.Apporti gratuiti'!O656:O659)</f>
        <v>50.197898407921656</v>
      </c>
      <c r="M71" s="1126">
        <f t="shared" si="7"/>
        <v>-35.746213216900131</v>
      </c>
      <c r="N71" s="432">
        <f>'8.Trasmissione'!L168</f>
        <v>40.244224386666659</v>
      </c>
      <c r="O71" s="320">
        <f>'9.Ventilazione'!G120</f>
        <v>25.968259800000009</v>
      </c>
      <c r="P71" s="320">
        <f>'7.Apporti gratuiti'!L130</f>
        <v>14.510249834382929</v>
      </c>
      <c r="Q71" s="1273">
        <f>SUM('7.Apporti gratuiti'!P656:P659)</f>
        <v>43.145301110940935</v>
      </c>
      <c r="R71" s="320">
        <f t="shared" si="8"/>
        <v>10.422830888282803</v>
      </c>
    </row>
    <row r="72" spans="1:18" ht="15" customHeight="1">
      <c r="A72" s="1370"/>
      <c r="B72" s="1800"/>
      <c r="C72" s="1283" t="s">
        <v>19</v>
      </c>
      <c r="D72" s="1044"/>
      <c r="E72" s="1044"/>
      <c r="F72" s="1044"/>
      <c r="G72" s="1044"/>
      <c r="H72" s="512"/>
      <c r="I72" s="1125">
        <f>'8.Trasmissione'!H169</f>
        <v>20.863062000000003</v>
      </c>
      <c r="J72" s="1044">
        <f>'9.Ventilazione'!E121</f>
        <v>2.0706515999999997</v>
      </c>
      <c r="K72" s="1044">
        <f>'7.Apporti gratuiti'!K131</f>
        <v>47.336613204815997</v>
      </c>
      <c r="L72" s="1273">
        <v>0</v>
      </c>
      <c r="M72" s="1126">
        <f t="shared" si="7"/>
        <v>-16.206173493498824</v>
      </c>
      <c r="N72" s="432">
        <f>'8.Trasmissione'!L169</f>
        <v>79.52690152000001</v>
      </c>
      <c r="O72" s="320">
        <f>'9.Ventilazione'!G121</f>
        <v>7.8930171359999992</v>
      </c>
      <c r="P72" s="320">
        <f>'7.Apporti gratuiti'!L131</f>
        <v>48.914500311643195</v>
      </c>
      <c r="Q72" s="1273">
        <v>0</v>
      </c>
      <c r="R72" s="320">
        <f t="shared" si="8"/>
        <v>40.088430726274623</v>
      </c>
    </row>
    <row r="73" spans="1:18" ht="15" customHeight="1">
      <c r="A73" s="1371"/>
      <c r="B73" s="1801"/>
      <c r="C73" s="1283" t="s">
        <v>588</v>
      </c>
      <c r="D73" s="1044"/>
      <c r="E73" s="1044"/>
      <c r="F73" s="1044"/>
      <c r="G73" s="1044"/>
      <c r="H73" s="512"/>
      <c r="I73" s="1125">
        <f>'8.Trasmissione'!H170</f>
        <v>1.6572600000000002</v>
      </c>
      <c r="J73" s="1044">
        <f>'9.Ventilazione'!E122</f>
        <v>4.4177400000000002</v>
      </c>
      <c r="K73" s="1044">
        <f>'7.Apporti gratuiti'!K132</f>
        <v>23.727036891744</v>
      </c>
      <c r="L73" s="1273">
        <v>0</v>
      </c>
      <c r="M73" s="1126">
        <f t="shared" si="7"/>
        <v>-13.543504200711574</v>
      </c>
      <c r="N73" s="432">
        <f>'8.Trasmissione'!L170</f>
        <v>6.3172296000000019</v>
      </c>
      <c r="O73" s="320">
        <f>'9.Ventilazione'!G122</f>
        <v>16.839770400000003</v>
      </c>
      <c r="P73" s="320">
        <f>'7.Apporti gratuiti'!L132</f>
        <v>24.517938121468795</v>
      </c>
      <c r="Q73" s="1273">
        <v>0</v>
      </c>
      <c r="R73" s="320">
        <f t="shared" si="8"/>
        <v>-0.5674678952965877</v>
      </c>
    </row>
    <row r="74" spans="1:18" ht="15" customHeight="1">
      <c r="A74" s="1377" t="s">
        <v>857</v>
      </c>
      <c r="B74" s="1802" t="s">
        <v>809</v>
      </c>
      <c r="C74" s="1282" t="s">
        <v>9</v>
      </c>
      <c r="D74" s="1044"/>
      <c r="E74" s="1044"/>
      <c r="F74" s="1044"/>
      <c r="G74" s="1044"/>
      <c r="H74" s="512"/>
      <c r="I74" s="1125">
        <f>'8.Trasmissione'!H171</f>
        <v>33.345675</v>
      </c>
      <c r="J74" s="1044">
        <f>'9.Ventilazione'!E123</f>
        <v>6.4822680000000013</v>
      </c>
      <c r="K74" s="1044">
        <f>'7.Apporti gratuiti'!K133</f>
        <v>34.8153155183808</v>
      </c>
      <c r="L74" s="1273">
        <f>SUM('7.Apporti gratuiti'!O676:O679)</f>
        <v>1.5806489463027589</v>
      </c>
      <c r="M74" s="1126">
        <f t="shared" si="7"/>
        <v>9.7342408239901062</v>
      </c>
      <c r="N74" s="432">
        <f>'8.Trasmissione'!L171</f>
        <v>127.10877300000001</v>
      </c>
      <c r="O74" s="320">
        <f>'9.Ventilazione'!G123</f>
        <v>24.709445280000004</v>
      </c>
      <c r="P74" s="320">
        <f>'7.Apporti gratuiti'!L133</f>
        <v>35.975826035660162</v>
      </c>
      <c r="Q74" s="1273">
        <f>SUM('7.Apporti gratuiti'!P676:P679)</f>
        <v>1.2639803625376387</v>
      </c>
      <c r="R74" s="320">
        <f t="shared" si="8"/>
        <v>115.7835979565445</v>
      </c>
    </row>
    <row r="75" spans="1:18" ht="15" customHeight="1">
      <c r="A75" s="1377"/>
      <c r="B75" s="1802"/>
      <c r="C75" s="1283" t="s">
        <v>804</v>
      </c>
      <c r="D75" s="1044"/>
      <c r="E75" s="1044"/>
      <c r="F75" s="1044"/>
      <c r="G75" s="1044"/>
      <c r="H75" s="512"/>
      <c r="I75" s="1125">
        <f>'8.Trasmissione'!H172</f>
        <v>115.02750600000002</v>
      </c>
      <c r="J75" s="1044">
        <f>'9.Ventilazione'!E124</f>
        <v>16.428743999999998</v>
      </c>
      <c r="K75" s="1044">
        <f>'7.Apporti gratuiti'!K134</f>
        <v>88.236386698406392</v>
      </c>
      <c r="L75" s="1273">
        <f>SUM('7.Apporti gratuiti'!O680:O686)</f>
        <v>5.7625694291407044</v>
      </c>
      <c r="M75" s="1126">
        <f t="shared" si="7"/>
        <v>53.733990618658524</v>
      </c>
      <c r="N75" s="432">
        <f>'8.Trasmissione'!L172</f>
        <v>438.46781176000013</v>
      </c>
      <c r="O75" s="320">
        <f>'9.Ventilazione'!G124</f>
        <v>62.623938240000001</v>
      </c>
      <c r="P75" s="320">
        <f>'7.Apporti gratuiti'!L134</f>
        <v>91.177599588353274</v>
      </c>
      <c r="Q75" s="1273">
        <f>SUM('7.Apporti gratuiti'!P680:P686)</f>
        <v>4.6411682364883688</v>
      </c>
      <c r="R75" s="320">
        <f t="shared" si="8"/>
        <v>408.37395008693181</v>
      </c>
    </row>
    <row r="76" spans="1:18" ht="15" customHeight="1">
      <c r="A76" s="1377"/>
      <c r="B76" s="1802"/>
      <c r="C76" s="1283" t="s">
        <v>22</v>
      </c>
      <c r="D76" s="1044"/>
      <c r="E76" s="1044"/>
      <c r="F76" s="1044"/>
      <c r="G76" s="1044"/>
      <c r="H76" s="512"/>
      <c r="I76" s="1125">
        <f>'8.Trasmissione'!H173</f>
        <v>2.8690200000000003</v>
      </c>
      <c r="J76" s="1044">
        <f>'9.Ventilazione'!E125</f>
        <v>2.61451476</v>
      </c>
      <c r="K76" s="1044">
        <f>'7.Apporti gratuiti'!K135</f>
        <v>11.121167588664958</v>
      </c>
      <c r="L76" s="1273">
        <f>SUM('7.Apporti gratuiti'!O705:O707)</f>
        <v>1.9104284995202716</v>
      </c>
      <c r="M76" s="1126">
        <f t="shared" si="7"/>
        <v>-5.2915326773923779</v>
      </c>
      <c r="N76" s="432">
        <f>'8.Trasmissione'!L173</f>
        <v>10.936279200000003</v>
      </c>
      <c r="O76" s="320">
        <f>'9.Ventilazione'!G125</f>
        <v>9.9661429296000001</v>
      </c>
      <c r="P76" s="320">
        <f>'7.Apporti gratuiti'!L135</f>
        <v>11.491873174953792</v>
      </c>
      <c r="Q76" s="1273">
        <f>SUM('7.Apporti gratuiti'!P705:P707)</f>
        <v>1.509854781878925</v>
      </c>
      <c r="R76" s="320">
        <f t="shared" si="8"/>
        <v>8.3214670767295509</v>
      </c>
    </row>
    <row r="77" spans="1:18" ht="15" customHeight="1">
      <c r="A77" s="1377"/>
      <c r="B77" s="1802"/>
      <c r="C77" s="1283" t="s">
        <v>803</v>
      </c>
      <c r="D77" s="1044"/>
      <c r="E77" s="1044"/>
      <c r="F77" s="1044"/>
      <c r="G77" s="1044"/>
      <c r="H77" s="512"/>
      <c r="I77" s="1125">
        <f>'8.Trasmissione'!H174</f>
        <v>5.7558599999999993</v>
      </c>
      <c r="J77" s="1044">
        <f>'9.Ventilazione'!E126</f>
        <v>2.4144479999999997</v>
      </c>
      <c r="K77" s="1044">
        <f>'7.Apporti gratuiti'!K136</f>
        <v>5.591123544787199</v>
      </c>
      <c r="L77" s="1273">
        <f>SUM('7.Apporti gratuiti'!O670:O670)</f>
        <v>0</v>
      </c>
      <c r="M77" s="1126">
        <f t="shared" si="7"/>
        <v>3.5473337428026186</v>
      </c>
      <c r="N77" s="432">
        <f>'8.Trasmissione'!L174</f>
        <v>21.940485599999999</v>
      </c>
      <c r="O77" s="320">
        <f>'9.Ventilazione'!G126</f>
        <v>9.203518080000002</v>
      </c>
      <c r="P77" s="320">
        <f>'7.Apporti gratuiti'!L136</f>
        <v>5.7774943296134387</v>
      </c>
      <c r="Q77" s="1273">
        <f>SUM('7.Apporti gratuiti'!P670:P670)</f>
        <v>0</v>
      </c>
      <c r="R77" s="320">
        <f t="shared" si="8"/>
        <v>25.553485502692489</v>
      </c>
    </row>
    <row r="78" spans="1:18" ht="15" customHeight="1">
      <c r="A78" s="1377"/>
      <c r="B78" s="1802"/>
      <c r="C78" s="1283" t="s">
        <v>802</v>
      </c>
      <c r="D78" s="567"/>
      <c r="E78" s="542"/>
      <c r="F78" s="542"/>
      <c r="G78" s="542"/>
      <c r="H78" s="512"/>
      <c r="I78" s="1125">
        <f>'8.Trasmissione'!H175</f>
        <v>22.679711999999999</v>
      </c>
      <c r="J78" s="1044">
        <f>'9.Ventilazione'!E127</f>
        <v>1.041012</v>
      </c>
      <c r="K78" s="1044">
        <f>'7.Apporti gratuiti'!K137</f>
        <v>36.588970256328004</v>
      </c>
      <c r="L78" s="1273">
        <v>0</v>
      </c>
      <c r="M78" s="1126">
        <f t="shared" si="7"/>
        <v>-6.53256341842404</v>
      </c>
      <c r="N78" s="432">
        <f>'8.Trasmissione'!L175</f>
        <v>86.451702186666665</v>
      </c>
      <c r="O78" s="320">
        <f>'9.Ventilazione'!G127</f>
        <v>3.9681835200000002</v>
      </c>
      <c r="P78" s="320">
        <f>'7.Apporti gratuiti'!L137</f>
        <v>37.808602598205603</v>
      </c>
      <c r="Q78" s="1273">
        <v>0</v>
      </c>
      <c r="R78" s="320">
        <f t="shared" si="8"/>
        <v>53.834877046345419</v>
      </c>
    </row>
    <row r="79" spans="1:18">
      <c r="A79" s="1377"/>
      <c r="B79" s="1802"/>
      <c r="C79" s="1283" t="s">
        <v>587</v>
      </c>
      <c r="D79" s="567"/>
      <c r="E79" s="542"/>
      <c r="F79" s="542"/>
      <c r="G79" s="567"/>
      <c r="H79" s="512"/>
      <c r="I79" s="1125">
        <f>'8.Trasmissione'!H176</f>
        <v>12.214917</v>
      </c>
      <c r="J79" s="1044">
        <f>'9.Ventilazione'!E128</f>
        <v>8.8136100000000006</v>
      </c>
      <c r="K79" s="1044">
        <f>'7.Apporti gratuiti'!K138</f>
        <v>12.967647885388796</v>
      </c>
      <c r="L79" s="1273">
        <f>SUM('7.Apporti gratuiti'!O708:O711)</f>
        <v>1.9163334695955963</v>
      </c>
      <c r="M79" s="1126">
        <f t="shared" si="7"/>
        <v>8.7218301263723408</v>
      </c>
      <c r="N79" s="432">
        <f>'8.Trasmissione'!L176</f>
        <v>46.561453986666663</v>
      </c>
      <c r="O79" s="320">
        <f>'9.Ventilazione'!G128</f>
        <v>33.596175600000002</v>
      </c>
      <c r="P79" s="320">
        <f>'7.Apporti gratuiti'!L138</f>
        <v>13.399902814901758</v>
      </c>
      <c r="Q79" s="1273">
        <f>SUM('7.Apporti gratuiti'!P708:P711)</f>
        <v>1.5145216130674881</v>
      </c>
      <c r="R79" s="320">
        <f t="shared" si="8"/>
        <v>65.725878361699216</v>
      </c>
    </row>
    <row r="80" spans="1:18">
      <c r="A80" s="1377"/>
      <c r="B80" s="1802"/>
      <c r="C80" s="1283" t="s">
        <v>20</v>
      </c>
      <c r="D80" s="567"/>
      <c r="E80" s="542"/>
      <c r="F80" s="542"/>
      <c r="G80" s="567"/>
      <c r="H80" s="512"/>
      <c r="I80" s="1125">
        <f>'8.Trasmissione'!H177</f>
        <v>33.059169000000004</v>
      </c>
      <c r="J80" s="1044">
        <f>'9.Ventilazione'!E129</f>
        <v>5.9661360000000005</v>
      </c>
      <c r="K80" s="1044">
        <f>'7.Apporti gratuiti'!K139</f>
        <v>32.043245861721601</v>
      </c>
      <c r="L80" s="1273">
        <f>SUM('7.Apporti gratuiti'!O699:O704)</f>
        <v>4.5614675745923714</v>
      </c>
      <c r="M80" s="1126">
        <f t="shared" si="7"/>
        <v>8.759000463420989</v>
      </c>
      <c r="N80" s="432">
        <f>'8.Trasmissione'!L177</f>
        <v>126.01665457333333</v>
      </c>
      <c r="O80" s="320">
        <f>'9.Ventilazione'!G129</f>
        <v>22.742026560000003</v>
      </c>
      <c r="P80" s="320">
        <f>'7.Apporti gratuiti'!L139</f>
        <v>33.111354057112315</v>
      </c>
      <c r="Q80" s="1273">
        <f>SUM('7.Apporti gratuiti'!P699:P704)</f>
        <v>3.6435322217825505</v>
      </c>
      <c r="R80" s="320">
        <f t="shared" si="8"/>
        <v>113.19328753462071</v>
      </c>
    </row>
    <row r="81" spans="1:23">
      <c r="A81" s="1377"/>
      <c r="B81" s="1802"/>
      <c r="C81" s="1283" t="s">
        <v>586</v>
      </c>
      <c r="D81" s="567"/>
      <c r="E81" s="542"/>
      <c r="F81" s="542"/>
      <c r="G81" s="567"/>
      <c r="H81" s="512"/>
      <c r="I81" s="1125">
        <f>'8.Trasmissione'!H178</f>
        <v>13.034636999999996</v>
      </c>
      <c r="J81" s="1044">
        <f>'9.Ventilazione'!E130</f>
        <v>6.8125050000000025</v>
      </c>
      <c r="K81" s="1044">
        <f>'7.Apporti gratuiti'!K140</f>
        <v>14.042177259080251</v>
      </c>
      <c r="L81" s="1273">
        <f>SUM('7.Apporti gratuiti'!O692:O695)</f>
        <v>1.5255655715402876</v>
      </c>
      <c r="M81" s="1126">
        <f t="shared" si="7"/>
        <v>6.9750826058327373</v>
      </c>
      <c r="N81" s="432">
        <f>'8.Trasmissione'!L178</f>
        <v>49.686105186666659</v>
      </c>
      <c r="O81" s="320">
        <f>'9.Ventilazione'!G130</f>
        <v>25.968259800000009</v>
      </c>
      <c r="P81" s="320">
        <f>'7.Apporti gratuiti'!L140</f>
        <v>14.510249834382929</v>
      </c>
      <c r="Q81" s="1273">
        <f>SUM('7.Apporti gratuiti'!P692:P695)</f>
        <v>1.2814750800938419</v>
      </c>
      <c r="R81" s="320">
        <f t="shared" si="8"/>
        <v>60.373705214677024</v>
      </c>
    </row>
    <row r="82" spans="1:23">
      <c r="A82" s="1377"/>
      <c r="B82" s="1802"/>
      <c r="C82" s="1283" t="s">
        <v>19</v>
      </c>
      <c r="D82" s="567"/>
      <c r="E82" s="542"/>
      <c r="F82" s="542"/>
      <c r="G82" s="567"/>
      <c r="H82" s="512"/>
      <c r="I82" s="1125">
        <f>'8.Trasmissione'!H179</f>
        <v>29.220641999999994</v>
      </c>
      <c r="J82" s="1044">
        <f>'9.Ventilazione'!E131</f>
        <v>2.0706515999999997</v>
      </c>
      <c r="K82" s="1044">
        <f>'7.Apporti gratuiti'!K141</f>
        <v>47.336613204815997</v>
      </c>
      <c r="L82" s="1273">
        <v>0</v>
      </c>
      <c r="M82" s="1126">
        <f t="shared" si="7"/>
        <v>-7.8485934934988322</v>
      </c>
      <c r="N82" s="432">
        <f>'8.Trasmissione'!L179</f>
        <v>111.38475832</v>
      </c>
      <c r="O82" s="320">
        <f>'9.Ventilazione'!G131</f>
        <v>7.8930171359999992</v>
      </c>
      <c r="P82" s="320">
        <f>'7.Apporti gratuiti'!L141</f>
        <v>48.914500311643195</v>
      </c>
      <c r="Q82" s="1273">
        <v>0</v>
      </c>
      <c r="R82" s="320">
        <f t="shared" si="8"/>
        <v>71.946287526274617</v>
      </c>
    </row>
    <row r="83" spans="1:23">
      <c r="A83" s="1377"/>
      <c r="B83" s="1802"/>
      <c r="C83" s="1283" t="s">
        <v>588</v>
      </c>
      <c r="D83" s="567"/>
      <c r="E83" s="542"/>
      <c r="F83" s="542"/>
      <c r="G83" s="567"/>
      <c r="H83" s="512"/>
      <c r="I83" s="1125">
        <f>'8.Trasmissione'!H180</f>
        <v>7.7516999999999978</v>
      </c>
      <c r="J83" s="1044">
        <f>'9.Ventilazione'!E132</f>
        <v>4.4177400000000002</v>
      </c>
      <c r="K83" s="1044">
        <f>'7.Apporti gratuiti'!K142</f>
        <v>23.727036891744</v>
      </c>
      <c r="L83" s="1273">
        <v>0</v>
      </c>
      <c r="M83" s="1126">
        <f t="shared" si="7"/>
        <v>-7.4490642007115753</v>
      </c>
      <c r="N83" s="432">
        <f>'8.Trasmissione'!L180</f>
        <v>29.548331999999998</v>
      </c>
      <c r="O83" s="320">
        <f>'9.Ventilazione'!G132</f>
        <v>16.839770400000003</v>
      </c>
      <c r="P83" s="320">
        <f>'7.Apporti gratuiti'!L142</f>
        <v>24.517938121468795</v>
      </c>
      <c r="Q83" s="1273">
        <v>0</v>
      </c>
      <c r="R83" s="320">
        <f t="shared" si="8"/>
        <v>22.66363450470341</v>
      </c>
    </row>
    <row r="84" spans="1:23">
      <c r="A84" s="1377"/>
      <c r="B84" s="1803" t="s">
        <v>810</v>
      </c>
      <c r="C84" s="1282" t="s">
        <v>9</v>
      </c>
      <c r="D84" s="567"/>
      <c r="E84" s="542"/>
      <c r="F84" s="542"/>
      <c r="G84" s="567"/>
      <c r="H84" s="512"/>
      <c r="I84" s="1125">
        <f>'8.Trasmissione'!H181</f>
        <v>33.345675</v>
      </c>
      <c r="J84" s="1044">
        <f>'9.Ventilazione'!E133</f>
        <v>6.4822680000000013</v>
      </c>
      <c r="K84" s="1044">
        <f>'7.Apporti gratuiti'!K143</f>
        <v>34.8153155183808</v>
      </c>
      <c r="L84" s="1273">
        <f>SUM('7.Apporti gratuiti'!O712:O715)</f>
        <v>3.0564509950744547</v>
      </c>
      <c r="M84" s="1126">
        <f t="shared" si="7"/>
        <v>8.5139861067514495</v>
      </c>
      <c r="N84" s="432">
        <f>'8.Trasmissione'!L181</f>
        <v>127.10877300000001</v>
      </c>
      <c r="O84" s="320">
        <f>'9.Ventilazione'!G133</f>
        <v>24.709445280000004</v>
      </c>
      <c r="P84" s="320">
        <f>'7.Apporti gratuiti'!L143</f>
        <v>35.975826035660162</v>
      </c>
      <c r="Q84" s="1273">
        <f>SUM('7.Apporti gratuiti'!P712:P715)</f>
        <v>2.5548545732546728</v>
      </c>
      <c r="R84" s="320">
        <f t="shared" si="8"/>
        <v>114.5345001075616</v>
      </c>
    </row>
    <row r="85" spans="1:23">
      <c r="A85" s="1377"/>
      <c r="B85" s="1803"/>
      <c r="C85" s="1283" t="s">
        <v>804</v>
      </c>
      <c r="D85" s="567"/>
      <c r="E85" s="542"/>
      <c r="F85" s="542"/>
      <c r="G85" s="567"/>
      <c r="H85" s="512"/>
      <c r="I85" s="1125">
        <f>'8.Trasmissione'!H182</f>
        <v>115.02750600000002</v>
      </c>
      <c r="J85" s="1044">
        <f>'9.Ventilazione'!E134</f>
        <v>16.428743999999998</v>
      </c>
      <c r="K85" s="1044">
        <f>'7.Apporti gratuiti'!K144</f>
        <v>88.236386698406392</v>
      </c>
      <c r="L85" s="1273">
        <f>SUM('7.Apporti gratuiti'!O716:O722)</f>
        <v>8.2175655459412695</v>
      </c>
      <c r="M85" s="1126">
        <f t="shared" si="7"/>
        <v>51.704097385469296</v>
      </c>
      <c r="N85" s="432">
        <f>'8.Trasmissione'!L182</f>
        <v>438.46781176000013</v>
      </c>
      <c r="O85" s="320">
        <f>'9.Ventilazione'!G134</f>
        <v>62.623938240000001</v>
      </c>
      <c r="P85" s="320">
        <f>'7.Apporti gratuiti'!L144</f>
        <v>91.177599588353274</v>
      </c>
      <c r="Q85" s="1273">
        <f>SUM('7.Apporti gratuiti'!P716:P722)</f>
        <v>6.9929264545882788</v>
      </c>
      <c r="R85" s="320">
        <f t="shared" si="8"/>
        <v>406.0983014550448</v>
      </c>
    </row>
    <row r="86" spans="1:23" ht="15" customHeight="1">
      <c r="A86" s="1377"/>
      <c r="B86" s="1803"/>
      <c r="C86" s="1283" t="s">
        <v>22</v>
      </c>
      <c r="D86" s="567"/>
      <c r="E86" s="542"/>
      <c r="F86" s="542"/>
      <c r="G86" s="542"/>
      <c r="H86" s="512"/>
      <c r="I86" s="1125">
        <f>'8.Trasmissione'!H183</f>
        <v>2.8690200000000003</v>
      </c>
      <c r="J86" s="1044">
        <f>'9.Ventilazione'!E135</f>
        <v>2.61451476</v>
      </c>
      <c r="K86" s="1044">
        <f>'7.Apporti gratuiti'!K145</f>
        <v>11.121167588664958</v>
      </c>
      <c r="L86" s="1273">
        <f>SUM('7.Apporti gratuiti'!O741:O743)</f>
        <v>1.9104284995202716</v>
      </c>
      <c r="M86" s="1126">
        <f t="shared" si="7"/>
        <v>-5.2915326773923779</v>
      </c>
      <c r="N86" s="432">
        <f>'8.Trasmissione'!L183</f>
        <v>10.936279200000003</v>
      </c>
      <c r="O86" s="320">
        <f>'9.Ventilazione'!G135</f>
        <v>9.9661429296000001</v>
      </c>
      <c r="P86" s="320">
        <f>'7.Apporti gratuiti'!L145</f>
        <v>11.491873174953792</v>
      </c>
      <c r="Q86" s="1273">
        <f>SUM('7.Apporti gratuiti'!P741:P743)</f>
        <v>1.509854781878925</v>
      </c>
      <c r="R86" s="320">
        <f t="shared" si="8"/>
        <v>8.3214670767295509</v>
      </c>
    </row>
    <row r="87" spans="1:23">
      <c r="A87" s="1377"/>
      <c r="B87" s="1803"/>
      <c r="C87" s="1283" t="s">
        <v>803</v>
      </c>
      <c r="D87" s="567"/>
      <c r="E87" s="542"/>
      <c r="F87" s="542"/>
      <c r="G87" s="567"/>
      <c r="H87" s="512"/>
      <c r="I87" s="1125">
        <f>'8.Trasmissione'!H184</f>
        <v>5.7558599999999993</v>
      </c>
      <c r="J87" s="1044">
        <f>'9.Ventilazione'!E136</f>
        <v>2.4144479999999997</v>
      </c>
      <c r="K87" s="1044">
        <f>'7.Apporti gratuiti'!K146</f>
        <v>5.591123544787199</v>
      </c>
      <c r="L87" s="1273">
        <f>SUM('7.Apporti gratuiti'!O732:O734)</f>
        <v>5.0741182866695196</v>
      </c>
      <c r="M87" s="1126">
        <f t="shared" si="7"/>
        <v>-0.64815899302110225</v>
      </c>
      <c r="N87" s="432">
        <f>'8.Trasmissione'!L184</f>
        <v>21.940485599999999</v>
      </c>
      <c r="O87" s="320">
        <f>'9.Ventilazione'!G136</f>
        <v>9.203518080000002</v>
      </c>
      <c r="P87" s="320">
        <f>'7.Apporti gratuiti'!L146</f>
        <v>5.7774943296134387</v>
      </c>
      <c r="Q87" s="1273">
        <f>SUM('7.Apporti gratuiti'!P732:P734)</f>
        <v>4.3612256348233895</v>
      </c>
      <c r="R87" s="320">
        <f t="shared" si="8"/>
        <v>21.333401536214414</v>
      </c>
    </row>
    <row r="88" spans="1:23">
      <c r="A88" s="1377"/>
      <c r="B88" s="1803"/>
      <c r="C88" s="1283" t="s">
        <v>802</v>
      </c>
      <c r="D88" s="567"/>
      <c r="E88" s="542"/>
      <c r="F88" s="542"/>
      <c r="G88" s="567"/>
      <c r="H88" s="512"/>
      <c r="I88" s="1125">
        <f>'8.Trasmissione'!H185</f>
        <v>22.679711999999999</v>
      </c>
      <c r="J88" s="1044">
        <f>'9.Ventilazione'!E137</f>
        <v>1.041012</v>
      </c>
      <c r="K88" s="1044">
        <f>'7.Apporti gratuiti'!K147</f>
        <v>36.588970256328004</v>
      </c>
      <c r="L88" s="1273">
        <v>0</v>
      </c>
      <c r="M88" s="1126">
        <f t="shared" si="7"/>
        <v>-6.53256341842404</v>
      </c>
      <c r="N88" s="432">
        <f>'8.Trasmissione'!L185</f>
        <v>86.451702186666665</v>
      </c>
      <c r="O88" s="320">
        <f>'9.Ventilazione'!G137</f>
        <v>3.9681835200000002</v>
      </c>
      <c r="P88" s="320">
        <f>'7.Apporti gratuiti'!L147</f>
        <v>37.808602598205603</v>
      </c>
      <c r="Q88" s="1273">
        <v>0</v>
      </c>
      <c r="R88" s="320">
        <f t="shared" si="8"/>
        <v>53.834877046345419</v>
      </c>
    </row>
    <row r="89" spans="1:23">
      <c r="A89" s="1377"/>
      <c r="B89" s="1803"/>
      <c r="C89" s="1283" t="s">
        <v>587</v>
      </c>
      <c r="D89" s="567"/>
      <c r="E89" s="542"/>
      <c r="F89" s="542"/>
      <c r="G89" s="567"/>
      <c r="H89" s="512"/>
      <c r="I89" s="1125">
        <f>'8.Trasmissione'!H186</f>
        <v>12.214917</v>
      </c>
      <c r="J89" s="1044">
        <f>'9.Ventilazione'!E138</f>
        <v>8.8136100000000006</v>
      </c>
      <c r="K89" s="1044">
        <f>'7.Apporti gratuiti'!K148</f>
        <v>12.967647885388796</v>
      </c>
      <c r="L89" s="1273">
        <f>SUM('7.Apporti gratuiti'!O744:O747)</f>
        <v>1.9163334695955963</v>
      </c>
      <c r="M89" s="1126">
        <f t="shared" si="7"/>
        <v>8.7218301263723408</v>
      </c>
      <c r="N89" s="432">
        <f>'8.Trasmissione'!L186</f>
        <v>46.561453986666663</v>
      </c>
      <c r="O89" s="320">
        <f>'9.Ventilazione'!G138</f>
        <v>33.596175600000002</v>
      </c>
      <c r="P89" s="320">
        <f>'7.Apporti gratuiti'!L148</f>
        <v>13.399902814901758</v>
      </c>
      <c r="Q89" s="1273">
        <f>SUM('7.Apporti gratuiti'!P744:P747)</f>
        <v>1.5145216130674881</v>
      </c>
      <c r="R89" s="320">
        <f t="shared" si="8"/>
        <v>65.725878361699216</v>
      </c>
    </row>
    <row r="90" spans="1:23">
      <c r="A90" s="1377"/>
      <c r="B90" s="1803"/>
      <c r="C90" s="1283" t="s">
        <v>20</v>
      </c>
      <c r="D90" s="567"/>
      <c r="E90" s="542"/>
      <c r="F90" s="542"/>
      <c r="G90" s="567"/>
      <c r="H90" s="512"/>
      <c r="I90" s="1125">
        <f>'8.Trasmissione'!H187</f>
        <v>33.059169000000004</v>
      </c>
      <c r="J90" s="1044">
        <f>'9.Ventilazione'!E139</f>
        <v>5.9661360000000005</v>
      </c>
      <c r="K90" s="1044">
        <f>'7.Apporti gratuiti'!K149</f>
        <v>32.043245861721601</v>
      </c>
      <c r="L90" s="1273">
        <f>SUM('7.Apporti gratuiti'!O735:O740)</f>
        <v>8.9115935586363335</v>
      </c>
      <c r="M90" s="1126">
        <f t="shared" si="7"/>
        <v>5.1621347746721895</v>
      </c>
      <c r="N90" s="432">
        <f>'8.Trasmissione'!L187</f>
        <v>126.01665457333333</v>
      </c>
      <c r="O90" s="320">
        <f>'9.Ventilazione'!G139</f>
        <v>22.742026560000003</v>
      </c>
      <c r="P90" s="320">
        <f>'7.Apporti gratuiti'!L149</f>
        <v>33.111354057112315</v>
      </c>
      <c r="Q90" s="1273">
        <f>SUM('7.Apporti gratuiti'!P735:P740)</f>
        <v>7.3975997316417406</v>
      </c>
      <c r="R90" s="320">
        <f t="shared" si="8"/>
        <v>109.56071232894126</v>
      </c>
    </row>
    <row r="91" spans="1:23">
      <c r="A91" s="1377"/>
      <c r="B91" s="1803"/>
      <c r="C91" s="1283" t="s">
        <v>586</v>
      </c>
      <c r="D91" s="567"/>
      <c r="E91" s="542"/>
      <c r="F91" s="542"/>
      <c r="G91" s="567"/>
      <c r="H91" s="512"/>
      <c r="I91" s="1125">
        <f>'8.Trasmissione'!H188</f>
        <v>13.034636999999996</v>
      </c>
      <c r="J91" s="1044">
        <f>'9.Ventilazione'!E140</f>
        <v>6.8125050000000025</v>
      </c>
      <c r="K91" s="1044">
        <f>'7.Apporti gratuiti'!K150</f>
        <v>14.042177259080251</v>
      </c>
      <c r="L91" s="1273">
        <f>SUM('7.Apporti gratuiti'!O728:O731)</f>
        <v>10.13177340792166</v>
      </c>
      <c r="M91" s="1126">
        <f>(I91+J91)-($K$22*(K91+L91))</f>
        <v>-0.14088915922968681</v>
      </c>
      <c r="N91" s="432">
        <f>'8.Trasmissione'!L188</f>
        <v>49.686105186666659</v>
      </c>
      <c r="O91" s="320">
        <f>'9.Ventilazione'!G140</f>
        <v>25.968259800000009</v>
      </c>
      <c r="P91" s="320">
        <f>'7.Apporti gratuiti'!L150</f>
        <v>14.510249834382929</v>
      </c>
      <c r="Q91" s="1273">
        <f>SUM('7.Apporti gratuiti'!P728:P731)</f>
        <v>8.7083011109409316</v>
      </c>
      <c r="R91" s="320">
        <f t="shared" si="8"/>
        <v>53.187232402001968</v>
      </c>
    </row>
    <row r="92" spans="1:23">
      <c r="A92" s="1377"/>
      <c r="B92" s="1803"/>
      <c r="C92" s="1283" t="s">
        <v>19</v>
      </c>
      <c r="D92" s="567"/>
      <c r="E92" s="542"/>
      <c r="F92" s="542"/>
      <c r="G92" s="567"/>
      <c r="H92" s="512"/>
      <c r="I92" s="1125">
        <f>'8.Trasmissione'!H189</f>
        <v>29.220641999999994</v>
      </c>
      <c r="J92" s="1044">
        <f>'9.Ventilazione'!E141</f>
        <v>2.0706515999999997</v>
      </c>
      <c r="K92" s="1044">
        <f>'7.Apporti gratuiti'!K151</f>
        <v>47.336613204815997</v>
      </c>
      <c r="L92" s="1273">
        <v>0</v>
      </c>
      <c r="M92" s="1126">
        <f t="shared" si="7"/>
        <v>-7.8485934934988322</v>
      </c>
      <c r="N92" s="432">
        <f>'8.Trasmissione'!L189</f>
        <v>111.38475832</v>
      </c>
      <c r="O92" s="320">
        <f>'9.Ventilazione'!G141</f>
        <v>7.8930171359999992</v>
      </c>
      <c r="P92" s="320">
        <f>'7.Apporti gratuiti'!L151</f>
        <v>48.914500311643195</v>
      </c>
      <c r="Q92" s="1273">
        <v>0</v>
      </c>
      <c r="R92" s="320">
        <f t="shared" si="8"/>
        <v>71.946287526274617</v>
      </c>
    </row>
    <row r="93" spans="1:23">
      <c r="A93" s="1377"/>
      <c r="B93" s="1803"/>
      <c r="C93" s="1283" t="s">
        <v>588</v>
      </c>
      <c r="D93" s="567"/>
      <c r="E93" s="542"/>
      <c r="F93" s="542"/>
      <c r="G93" s="567"/>
      <c r="H93" s="512"/>
      <c r="I93" s="1125">
        <f>'8.Trasmissione'!H190</f>
        <v>7.7516999999999978</v>
      </c>
      <c r="J93" s="1044">
        <f>'9.Ventilazione'!E142</f>
        <v>4.4177400000000002</v>
      </c>
      <c r="K93" s="1044">
        <f>'7.Apporti gratuiti'!K152</f>
        <v>23.727036891744</v>
      </c>
      <c r="L93" s="1273">
        <v>0</v>
      </c>
      <c r="M93" s="1126">
        <f>(I93+J93)-($K$22*(K93+L93))</f>
        <v>-7.4490642007115753</v>
      </c>
      <c r="N93" s="432">
        <f>'8.Trasmissione'!L190</f>
        <v>29.548331999999998</v>
      </c>
      <c r="O93" s="320">
        <f>'9.Ventilazione'!G142</f>
        <v>16.839770400000003</v>
      </c>
      <c r="P93" s="320">
        <f>'7.Apporti gratuiti'!L152</f>
        <v>24.517938121468795</v>
      </c>
      <c r="Q93" s="1273">
        <v>0</v>
      </c>
      <c r="R93" s="320">
        <f t="shared" si="8"/>
        <v>22.66363450470341</v>
      </c>
    </row>
    <row r="94" spans="1:23">
      <c r="A94" s="549"/>
      <c r="B94" s="549"/>
      <c r="D94" s="580">
        <f t="shared" ref="D94:I94" si="9">SUM(D34:D93)</f>
        <v>0</v>
      </c>
      <c r="E94" s="580">
        <f t="shared" si="9"/>
        <v>0</v>
      </c>
      <c r="F94" s="580">
        <f t="shared" si="9"/>
        <v>0</v>
      </c>
      <c r="G94" s="580">
        <f t="shared" si="9"/>
        <v>0</v>
      </c>
      <c r="H94" s="580">
        <f t="shared" si="9"/>
        <v>0</v>
      </c>
      <c r="I94" s="580">
        <f t="shared" si="9"/>
        <v>1582.6607280000001</v>
      </c>
      <c r="J94" s="580">
        <f t="shared" ref="J94:M94" si="10">SUM(J34:J93)</f>
        <v>342.36977616000001</v>
      </c>
      <c r="K94" s="580">
        <f t="shared" si="10"/>
        <v>1838.8181082559086</v>
      </c>
      <c r="L94" s="580">
        <f>SUM(L34:L93)</f>
        <v>326.64872876749178</v>
      </c>
      <c r="M94" s="580">
        <f t="shared" si="10"/>
        <v>134.53216117358485</v>
      </c>
      <c r="N94" s="580">
        <f>SUM(N34:N92)</f>
        <v>6003.3198948800009</v>
      </c>
      <c r="O94" s="580">
        <f>SUM(O34:O93)</f>
        <v>1305.0628652736</v>
      </c>
      <c r="P94" s="580">
        <f>SUM(P34:P93)</f>
        <v>1900.112045197772</v>
      </c>
      <c r="Q94" s="581">
        <f>SUM(Q34:Q92)</f>
        <v>270.84574286425601</v>
      </c>
      <c r="R94" s="580">
        <f>SUM(R34:R93)</f>
        <v>5237.2316740478745</v>
      </c>
    </row>
    <row r="95" spans="1:23">
      <c r="D95" s="20" t="s">
        <v>660</v>
      </c>
      <c r="E95" s="20" t="s">
        <v>660</v>
      </c>
      <c r="F95" s="20" t="s">
        <v>660</v>
      </c>
      <c r="G95" s="20" t="s">
        <v>660</v>
      </c>
      <c r="H95" s="20" t="s">
        <v>660</v>
      </c>
      <c r="I95" s="20" t="s">
        <v>660</v>
      </c>
      <c r="J95" s="20" t="s">
        <v>660</v>
      </c>
      <c r="K95" s="20" t="s">
        <v>660</v>
      </c>
      <c r="L95" s="20" t="s">
        <v>660</v>
      </c>
      <c r="M95" s="20" t="s">
        <v>660</v>
      </c>
      <c r="N95" s="20" t="s">
        <v>660</v>
      </c>
      <c r="O95" s="20" t="s">
        <v>660</v>
      </c>
      <c r="P95" s="20" t="s">
        <v>660</v>
      </c>
      <c r="Q95" s="20" t="s">
        <v>660</v>
      </c>
      <c r="R95" s="20" t="s">
        <v>660</v>
      </c>
    </row>
    <row r="96" spans="1:23">
      <c r="S96" s="41"/>
      <c r="T96" s="41"/>
      <c r="U96" s="41"/>
      <c r="V96" s="41"/>
      <c r="W96" s="41"/>
    </row>
    <row r="97" spans="1:24" s="260" customFormat="1" ht="18" customHeight="1">
      <c r="A97" s="1714" t="s">
        <v>422</v>
      </c>
      <c r="B97" s="1715"/>
      <c r="C97" s="1716"/>
      <c r="D97" s="1834" t="s">
        <v>204</v>
      </c>
      <c r="E97" s="1826"/>
      <c r="F97" s="1826"/>
      <c r="G97" s="1826"/>
      <c r="H97" s="1826"/>
      <c r="I97" s="1835" t="s">
        <v>205</v>
      </c>
      <c r="J97" s="1826"/>
      <c r="K97" s="1826"/>
      <c r="L97" s="1826"/>
      <c r="M97" s="1836"/>
      <c r="N97" s="1826" t="s">
        <v>206</v>
      </c>
      <c r="O97" s="1826"/>
      <c r="P97" s="1826"/>
      <c r="Q97" s="1826"/>
      <c r="R97" s="1826"/>
      <c r="S97" s="1845"/>
      <c r="T97" s="1846"/>
      <c r="U97" s="1846"/>
      <c r="V97" s="1846"/>
      <c r="W97" s="1846"/>
    </row>
    <row r="98" spans="1:24" s="260" customFormat="1" ht="33" customHeight="1">
      <c r="A98" s="1714"/>
      <c r="B98" s="1715"/>
      <c r="C98" s="1716"/>
      <c r="D98" s="261" t="s">
        <v>403</v>
      </c>
      <c r="E98" s="261" t="s">
        <v>404</v>
      </c>
      <c r="F98" s="261" t="s">
        <v>405</v>
      </c>
      <c r="G98" s="261" t="s">
        <v>406</v>
      </c>
      <c r="H98" s="1067" t="s">
        <v>414</v>
      </c>
      <c r="I98" s="1121" t="s">
        <v>403</v>
      </c>
      <c r="J98" s="261" t="s">
        <v>404</v>
      </c>
      <c r="K98" s="261" t="s">
        <v>405</v>
      </c>
      <c r="L98" s="261" t="s">
        <v>406</v>
      </c>
      <c r="M98" s="1122" t="s">
        <v>414</v>
      </c>
      <c r="N98" s="1068" t="s">
        <v>403</v>
      </c>
      <c r="O98" s="261" t="s">
        <v>404</v>
      </c>
      <c r="P98" s="261" t="s">
        <v>405</v>
      </c>
      <c r="Q98" s="261" t="s">
        <v>406</v>
      </c>
      <c r="R98" s="224" t="s">
        <v>414</v>
      </c>
      <c r="T98" s="63"/>
      <c r="U98" s="63"/>
      <c r="V98" s="63"/>
      <c r="W98" s="63"/>
    </row>
    <row r="99" spans="1:24" ht="37.5" customHeight="1" thickBot="1">
      <c r="A99" s="1350" t="str">
        <f>A33</f>
        <v>15 Novembre - 31 Marzo</v>
      </c>
      <c r="B99" s="1351"/>
      <c r="C99" s="1410"/>
      <c r="D99" s="175" t="s">
        <v>218</v>
      </c>
      <c r="E99" s="175" t="s">
        <v>218</v>
      </c>
      <c r="F99" s="175" t="s">
        <v>218</v>
      </c>
      <c r="G99" s="175" t="s">
        <v>218</v>
      </c>
      <c r="H99" s="1041" t="s">
        <v>218</v>
      </c>
      <c r="I99" s="1123" t="s">
        <v>218</v>
      </c>
      <c r="J99" s="175" t="s">
        <v>218</v>
      </c>
      <c r="K99" s="175" t="s">
        <v>218</v>
      </c>
      <c r="L99" s="175" t="s">
        <v>218</v>
      </c>
      <c r="M99" s="1124" t="s">
        <v>218</v>
      </c>
      <c r="N99" s="1042" t="s">
        <v>218</v>
      </c>
      <c r="O99" s="175" t="s">
        <v>218</v>
      </c>
      <c r="P99" s="175" t="s">
        <v>218</v>
      </c>
      <c r="Q99" s="175" t="s">
        <v>218</v>
      </c>
      <c r="R99" s="175" t="s">
        <v>218</v>
      </c>
      <c r="S99" s="1128"/>
      <c r="T99" s="34"/>
      <c r="U99" s="34"/>
      <c r="V99" s="34"/>
      <c r="W99" s="34"/>
    </row>
    <row r="100" spans="1:24" ht="15" customHeight="1" thickBot="1">
      <c r="A100" s="1484" t="s">
        <v>34</v>
      </c>
      <c r="B100" s="1796" t="s">
        <v>809</v>
      </c>
      <c r="C100" s="1275" t="s">
        <v>9</v>
      </c>
      <c r="D100" s="641">
        <f>'8.Trasmissione'!F227</f>
        <v>161.01222059999998</v>
      </c>
      <c r="E100" s="641">
        <f>'9.Ventilazione'!I83</f>
        <v>28.877303519999998</v>
      </c>
      <c r="F100" s="641">
        <f>'7.Apporti gratuiti'!M93</f>
        <v>35.975826035660162</v>
      </c>
      <c r="G100" s="641">
        <f>SUM('7.Apporti gratuiti'!E532:E535)</f>
        <v>1.4227636498406733</v>
      </c>
      <c r="H100" s="1129">
        <f t="shared" ref="H100:H159" si="11">(D100+E100)-($K$24*(F100+G100))</f>
        <v>153.55935365410406</v>
      </c>
      <c r="I100" s="1125">
        <f>'8.Trasmissione'!I227</f>
        <v>142.86019439999998</v>
      </c>
      <c r="J100" s="1044">
        <f>'9.Ventilazione'!K83</f>
        <v>25.62176448</v>
      </c>
      <c r="K100" s="1044">
        <f>'7.Apporti gratuiti'!N93</f>
        <v>33.654805001101437</v>
      </c>
      <c r="L100" s="320">
        <f>SUM('7.Apporti gratuiti'!F532:F535)</f>
        <v>2.0462229181204865</v>
      </c>
      <c r="M100" s="1126">
        <f t="shared" ref="M100:M159" si="12">(I100+J100)-($K$25*(K100+L100))</f>
        <v>134.05862330614053</v>
      </c>
      <c r="N100" s="530">
        <f>'8.Trasmissione'!L227</f>
        <v>119.51422559999999</v>
      </c>
      <c r="O100" s="527">
        <f>'9.Ventilazione'!M83</f>
        <v>21.434699519999999</v>
      </c>
      <c r="P100" s="527">
        <f>'7.Apporti gratuiti'!O93</f>
        <v>35.975826035660162</v>
      </c>
      <c r="Q100" s="320">
        <f>SUM('7.Apporti gratuiti'!G532:G535)</f>
        <v>3.2922434638391653</v>
      </c>
      <c r="R100" s="512">
        <f t="shared" ref="R100:R159" si="13">(N100+O100)-($K$26*(P100+Q100))</f>
        <v>103.86181618945719</v>
      </c>
      <c r="S100" s="1127" t="s">
        <v>581</v>
      </c>
      <c r="T100" s="145"/>
      <c r="U100" s="145"/>
      <c r="V100" s="145"/>
      <c r="W100" s="145"/>
    </row>
    <row r="101" spans="1:24">
      <c r="A101" s="1485"/>
      <c r="B101" s="1797"/>
      <c r="C101" s="1276" t="s">
        <v>804</v>
      </c>
      <c r="D101" s="641">
        <f>'8.Trasmissione'!F228</f>
        <v>543.94200344000001</v>
      </c>
      <c r="E101" s="641">
        <f>'9.Ventilazione'!I84</f>
        <v>73.187012159999981</v>
      </c>
      <c r="F101" s="641">
        <f>'7.Apporti gratuiti'!M94</f>
        <v>91.177599588353274</v>
      </c>
      <c r="G101" s="641">
        <f>SUM('7.Apporti gratuiti'!E536:E542)</f>
        <v>5.2018688328145375</v>
      </c>
      <c r="H101" s="1129">
        <f>(D101+E101)-($K$24*(F101+G101))</f>
        <v>523.50295786363142</v>
      </c>
      <c r="I101" s="1125">
        <f>'8.Trasmissione'!I228</f>
        <v>482.61964255999993</v>
      </c>
      <c r="J101" s="1044">
        <f>'9.Ventilazione'!K84</f>
        <v>64.936131840000002</v>
      </c>
      <c r="K101" s="1044">
        <f>'7.Apporti gratuiti'!N94</f>
        <v>85.295173808459509</v>
      </c>
      <c r="L101" s="320">
        <f>SUM('7.Apporti gratuiti'!F536:F542)</f>
        <v>7.4446712181192112</v>
      </c>
      <c r="M101" s="1126">
        <f t="shared" si="12"/>
        <v>458.13496518294096</v>
      </c>
      <c r="N101" s="530">
        <f>'8.Trasmissione'!L228</f>
        <v>403.75076544000001</v>
      </c>
      <c r="O101" s="1044">
        <f>'9.Ventilazione'!M84</f>
        <v>54.32438015999999</v>
      </c>
      <c r="P101" s="1044">
        <f>'7.Apporti gratuiti'!O94</f>
        <v>91.177599588353274</v>
      </c>
      <c r="Q101" s="320">
        <f>SUM('7.Apporti gratuiti'!G536:G542)</f>
        <v>11.774712522849537</v>
      </c>
      <c r="R101" s="512">
        <f t="shared" si="13"/>
        <v>360.8408363358763</v>
      </c>
      <c r="S101" s="479"/>
      <c r="T101" s="145"/>
      <c r="U101" s="145"/>
      <c r="V101" s="145"/>
      <c r="W101" s="145"/>
      <c r="X101" s="129"/>
    </row>
    <row r="102" spans="1:24">
      <c r="A102" s="1485"/>
      <c r="B102" s="1797"/>
      <c r="C102" s="1276" t="s">
        <v>22</v>
      </c>
      <c r="D102" s="641">
        <f>'8.Trasmissione'!F229</f>
        <v>16.750192800000001</v>
      </c>
      <c r="E102" s="641">
        <f>'9.Ventilazione'!I85</f>
        <v>11.6471790864</v>
      </c>
      <c r="F102" s="641">
        <f>'7.Apporti gratuiti'!M95</f>
        <v>11.491873174953792</v>
      </c>
      <c r="G102" s="641">
        <f>SUM('7.Apporti gratuiti'!E561:E563)</f>
        <v>1.7255483221473424</v>
      </c>
      <c r="H102" s="1129">
        <f t="shared" si="11"/>
        <v>15.557551450725974</v>
      </c>
      <c r="I102" s="1125">
        <f>'8.Trasmissione'!I229</f>
        <v>14.861827200000002</v>
      </c>
      <c r="J102" s="1044">
        <f>'9.Ventilazione'!K85</f>
        <v>10.334111673600001</v>
      </c>
      <c r="K102" s="1044">
        <f>'7.Apporti gratuiti'!N95</f>
        <v>10.750462002376127</v>
      </c>
      <c r="L102" s="320">
        <f>SUM('7.Apporti gratuiti'!F561:F563)</f>
        <v>2.1877487655796668</v>
      </c>
      <c r="M102" s="1126">
        <f t="shared" si="12"/>
        <v>12.720769475161836</v>
      </c>
      <c r="N102" s="530">
        <f>'8.Trasmissione'!L229</f>
        <v>12.433132799999999</v>
      </c>
      <c r="O102" s="1044">
        <f>'9.Ventilazione'!M85</f>
        <v>8.6453288063999985</v>
      </c>
      <c r="P102" s="1044">
        <f>'7.Apporti gratuiti'!O95</f>
        <v>11.491873174953792</v>
      </c>
      <c r="Q102" s="320">
        <f>SUM('7.Apporti gratuiti'!G561:G563)</f>
        <v>3.0813362895488261</v>
      </c>
      <c r="R102" s="512">
        <f t="shared" si="13"/>
        <v>7.3146526449098701</v>
      </c>
      <c r="S102" s="479"/>
      <c r="T102" s="145"/>
      <c r="U102" s="145"/>
      <c r="V102" s="145"/>
      <c r="W102" s="145"/>
      <c r="X102" s="129"/>
    </row>
    <row r="103" spans="1:24">
      <c r="A103" s="1485"/>
      <c r="B103" s="1797"/>
      <c r="C103" s="1276" t="s">
        <v>803</v>
      </c>
      <c r="D103" s="641">
        <f>'8.Trasmissione'!F230</f>
        <v>25.08559679999999</v>
      </c>
      <c r="E103" s="641">
        <f>'9.Ventilazione'!I86</f>
        <v>10.75591872</v>
      </c>
      <c r="F103" s="641">
        <f>'7.Apporti gratuiti'!M96</f>
        <v>5.7774943296134387</v>
      </c>
      <c r="G103" s="641">
        <f>SUM('7.Apporti gratuiti'!E552:E554)</f>
        <v>0.70332484391927508</v>
      </c>
      <c r="H103" s="1129">
        <f t="shared" si="11"/>
        <v>29.54584321489239</v>
      </c>
      <c r="I103" s="1125">
        <f>'8.Trasmissione'!I230</f>
        <v>22.257523199999994</v>
      </c>
      <c r="J103" s="1044">
        <f>'9.Ventilazione'!K86</f>
        <v>9.5433292799999982</v>
      </c>
      <c r="K103" s="1044">
        <f>'7.Apporti gratuiti'!N96</f>
        <v>5.4047527599609593</v>
      </c>
      <c r="L103" s="320">
        <f>SUM('7.Apporti gratuiti'!F552:F554)</f>
        <v>0.94795957223902283</v>
      </c>
      <c r="M103" s="1126">
        <f t="shared" si="12"/>
        <v>25.67549527991293</v>
      </c>
      <c r="N103" s="530">
        <f>'8.Trasmissione'!L230</f>
        <v>18.620236799999994</v>
      </c>
      <c r="O103" s="1044">
        <f>'9.Ventilazione'!M86</f>
        <v>7.9837747199999995</v>
      </c>
      <c r="P103" s="1044">
        <f>'7.Apporti gratuiti'!O96</f>
        <v>5.7774943296134387</v>
      </c>
      <c r="Q103" s="320">
        <f>SUM('7.Apporti gratuiti'!G552:G554)</f>
        <v>1.2843323236786763</v>
      </c>
      <c r="R103" s="512">
        <f t="shared" si="13"/>
        <v>19.934400875081622</v>
      </c>
      <c r="S103" s="479"/>
      <c r="T103" s="145"/>
      <c r="U103" s="145"/>
      <c r="V103" s="145"/>
      <c r="W103" s="145"/>
    </row>
    <row r="104" spans="1:24">
      <c r="A104" s="1485"/>
      <c r="B104" s="1797"/>
      <c r="C104" s="1276" t="s">
        <v>802</v>
      </c>
      <c r="D104" s="641">
        <f>'8.Trasmissione'!F231</f>
        <v>114.13240901333333</v>
      </c>
      <c r="E104" s="641">
        <f>'9.Ventilazione'!I87</f>
        <v>4.6375156799999999</v>
      </c>
      <c r="F104" s="641">
        <f>'7.Apporti gratuiti'!M97</f>
        <v>37.808602598205603</v>
      </c>
      <c r="G104" s="641">
        <f>SUM('7.Apporti gratuiti'!E545:E547)</f>
        <v>0</v>
      </c>
      <c r="H104" s="1129">
        <f t="shared" si="11"/>
        <v>82.041454742428812</v>
      </c>
      <c r="I104" s="1125">
        <f>'8.Trasmissione'!I231</f>
        <v>101.26546965333331</v>
      </c>
      <c r="J104" s="1044">
        <f>'9.Ventilazione'!K87</f>
        <v>4.1146963200000002</v>
      </c>
      <c r="K104" s="1044">
        <f>'7.Apporti gratuiti'!N97</f>
        <v>35.369337914450398</v>
      </c>
      <c r="L104" s="320">
        <f>SUM('7.Apporti gratuiti'!F545:F547)</f>
        <v>0</v>
      </c>
      <c r="M104" s="1126">
        <f t="shared" si="12"/>
        <v>71.276649659764615</v>
      </c>
      <c r="N104" s="530">
        <f>'8.Trasmissione'!L231</f>
        <v>84.716839679999978</v>
      </c>
      <c r="O104" s="1044">
        <f>'9.Ventilazione'!M87</f>
        <v>3.4422796799999991</v>
      </c>
      <c r="P104" s="1044">
        <f>'7.Apporti gratuiti'!O97</f>
        <v>37.808602598205603</v>
      </c>
      <c r="Q104" s="320">
        <f>SUM('7.Apporti gratuiti'!G545:G547)</f>
        <v>0</v>
      </c>
      <c r="R104" s="512">
        <f t="shared" si="13"/>
        <v>52.45041809346246</v>
      </c>
      <c r="S104" s="479"/>
      <c r="T104" s="145"/>
      <c r="U104" s="145"/>
      <c r="V104" s="145"/>
      <c r="W104" s="145"/>
    </row>
    <row r="105" spans="1:24">
      <c r="A105" s="1485"/>
      <c r="B105" s="1797"/>
      <c r="C105" s="1276" t="s">
        <v>587</v>
      </c>
      <c r="D105" s="641">
        <f>'8.Trasmissione'!F232</f>
        <v>59.098896413333314</v>
      </c>
      <c r="E105" s="641">
        <f>'9.Ventilazione'!I88</f>
        <v>39.263000399999996</v>
      </c>
      <c r="F105" s="641">
        <f>'7.Apporti gratuiti'!M98</f>
        <v>13.399902814901758</v>
      </c>
      <c r="G105" s="641">
        <f>SUM('7.Apporti gratuiti'!E564:E567)</f>
        <v>1.7308818435057003</v>
      </c>
      <c r="H105" s="1129">
        <f t="shared" si="11"/>
        <v>83.663375009559999</v>
      </c>
      <c r="I105" s="1125">
        <f>'8.Trasmissione'!I232</f>
        <v>52.43626725333332</v>
      </c>
      <c r="J105" s="1044">
        <f>'9.Ventilazione'!K88</f>
        <v>34.836609599999996</v>
      </c>
      <c r="K105" s="1044">
        <f>'7.Apporti gratuiti'!N98</f>
        <v>12.535392955875837</v>
      </c>
      <c r="L105" s="320">
        <f>SUM('7.Apporti gratuiti'!F564:F567)</f>
        <v>2.1877487655796668</v>
      </c>
      <c r="M105" s="1126">
        <f t="shared" si="12"/>
        <v>73.07665680818792</v>
      </c>
      <c r="N105" s="530">
        <f>'8.Trasmissione'!L232</f>
        <v>43.867222079999983</v>
      </c>
      <c r="O105" s="1044">
        <f>'9.Ventilazione'!M88</f>
        <v>29.143670399999994</v>
      </c>
      <c r="P105" s="1044">
        <f>'7.Apporti gratuiti'!O98</f>
        <v>13.399902814901758</v>
      </c>
      <c r="Q105" s="320">
        <f>SUM('7.Apporti gratuiti'!G564:G567)</f>
        <v>3.0813362895488261</v>
      </c>
      <c r="R105" s="512">
        <f t="shared" si="13"/>
        <v>57.445026427306104</v>
      </c>
      <c r="S105" s="479"/>
      <c r="T105" s="145"/>
      <c r="U105" s="145"/>
      <c r="V105" s="145"/>
      <c r="W105" s="145"/>
    </row>
    <row r="106" spans="1:24" ht="15" customHeight="1">
      <c r="A106" s="1485"/>
      <c r="B106" s="1797"/>
      <c r="C106" s="1276" t="s">
        <v>20</v>
      </c>
      <c r="D106" s="641">
        <f>'8.Trasmissione'!F233</f>
        <v>158.78327182666663</v>
      </c>
      <c r="E106" s="641">
        <f>'9.Ventilazione'!I89</f>
        <v>26.578031039999999</v>
      </c>
      <c r="F106" s="641">
        <f>'7.Apporti gratuiti'!M99</f>
        <v>33.111354057112315</v>
      </c>
      <c r="G106" s="641">
        <f>SUM('7.Apporti gratuiti'!E555:E560)</f>
        <v>4.1330357002775653</v>
      </c>
      <c r="H106" s="1129">
        <f t="shared" si="11"/>
        <v>149.18092707808901</v>
      </c>
      <c r="I106" s="1125">
        <f>'8.Trasmissione'!I233</f>
        <v>140.88253050666663</v>
      </c>
      <c r="J106" s="1044">
        <f>'9.Ventilazione'!K89</f>
        <v>23.581704960000003</v>
      </c>
      <c r="K106" s="1044">
        <f>'7.Apporti gratuiti'!N99</f>
        <v>30.97513766633088</v>
      </c>
      <c r="L106" s="320">
        <f>SUM('7.Apporti gratuiti'!F555:F560)</f>
        <v>5.2971187599149143</v>
      </c>
      <c r="M106" s="1126">
        <f t="shared" si="12"/>
        <v>129.49011489493179</v>
      </c>
      <c r="N106" s="530">
        <f>'8.Trasmissione'!L233</f>
        <v>117.85974815999997</v>
      </c>
      <c r="O106" s="1044">
        <f>'9.Ventilazione'!M89</f>
        <v>19.72802304</v>
      </c>
      <c r="P106" s="1044">
        <f>'7.Apporti gratuiti'!O99</f>
        <v>33.111354057112315</v>
      </c>
      <c r="Q106" s="320">
        <f>SUM('7.Apporti gratuiti'!G555:G560)</f>
        <v>7.4092076519255166</v>
      </c>
      <c r="R106" s="512">
        <f t="shared" si="13"/>
        <v>99.317733859635453</v>
      </c>
      <c r="S106" s="479"/>
      <c r="T106" s="145"/>
      <c r="U106" s="145"/>
      <c r="V106" s="145"/>
      <c r="W106" s="145"/>
    </row>
    <row r="107" spans="1:24" ht="15" customHeight="1">
      <c r="A107" s="1485"/>
      <c r="B107" s="1797"/>
      <c r="C107" s="1276" t="s">
        <v>586</v>
      </c>
      <c r="D107" s="641">
        <f>'8.Trasmissione'!F234</f>
        <v>63.06813641333332</v>
      </c>
      <c r="E107" s="641">
        <f>'9.Ventilazione'!I90</f>
        <v>30.348448200000007</v>
      </c>
      <c r="F107" s="641">
        <f>'7.Apporti gratuiti'!M100</f>
        <v>14.510249834382929</v>
      </c>
      <c r="G107" s="641">
        <f>SUM('7.Apporti gratuiti'!E548:E551)</f>
        <v>1.4035203258170648</v>
      </c>
      <c r="H107" s="1129">
        <f t="shared" si="11"/>
        <v>77.957445979041509</v>
      </c>
      <c r="I107" s="1125">
        <f>'8.Trasmissione'!I234</f>
        <v>55.958027253333327</v>
      </c>
      <c r="J107" s="1044">
        <f>'9.Ventilazione'!K90</f>
        <v>26.927056800000006</v>
      </c>
      <c r="K107" s="1044">
        <f>'7.Apporti gratuiti'!N100</f>
        <v>13.574104683777577</v>
      </c>
      <c r="L107" s="320">
        <f>SUM('7.Apporti gratuiti'!F548:F551)</f>
        <v>1.8917013087099566</v>
      </c>
      <c r="M107" s="1126">
        <f t="shared" si="12"/>
        <v>67.972778704473569</v>
      </c>
      <c r="N107" s="530">
        <f>'8.Trasmissione'!L234</f>
        <v>46.813462079999994</v>
      </c>
      <c r="O107" s="1044">
        <f>'9.Ventilazione'!M90</f>
        <v>22.526683200000008</v>
      </c>
      <c r="P107" s="1044">
        <f>'7.Apporti gratuiti'!O100</f>
        <v>14.510249834382929</v>
      </c>
      <c r="Q107" s="320">
        <f>SUM('7.Apporti gratuiti'!G548:G551)</f>
        <v>2.5629501601876838</v>
      </c>
      <c r="R107" s="512">
        <f t="shared" si="13"/>
        <v>53.21519602575524</v>
      </c>
      <c r="S107" s="479"/>
      <c r="T107" s="145"/>
      <c r="U107" s="145"/>
      <c r="V107" s="145"/>
      <c r="W107" s="145"/>
    </row>
    <row r="108" spans="1:24" ht="15" customHeight="1">
      <c r="A108" s="1485"/>
      <c r="B108" s="1797"/>
      <c r="C108" s="1276" t="s">
        <v>19</v>
      </c>
      <c r="D108" s="641">
        <f>'8.Trasmissione'!F235</f>
        <v>147.08151127999997</v>
      </c>
      <c r="E108" s="641">
        <f>'9.Ventilazione'!I91</f>
        <v>9.2243694239999989</v>
      </c>
      <c r="F108" s="641">
        <f>'7.Apporti gratuiti'!M101</f>
        <v>48.914500311643195</v>
      </c>
      <c r="G108" s="641">
        <f>SUM('7.Apporti gratuiti'!E543:E544)</f>
        <v>0</v>
      </c>
      <c r="H108" s="1129">
        <f t="shared" si="11"/>
        <v>108.78879116880088</v>
      </c>
      <c r="I108" s="1125">
        <f>'8.Trasmissione'!I235</f>
        <v>130.49999072</v>
      </c>
      <c r="J108" s="1044">
        <f>'9.Ventilazione'!K91</f>
        <v>8.1844421759999992</v>
      </c>
      <c r="K108" s="1044">
        <f>'7.Apporti gratuiti'!N101</f>
        <v>45.758726097988792</v>
      </c>
      <c r="L108" s="320">
        <f>SUM('7.Apporti gratuiti'!F543:F544)</f>
        <v>0</v>
      </c>
      <c r="M108" s="1126">
        <f t="shared" si="12"/>
        <v>94.563350795299584</v>
      </c>
      <c r="N108" s="530">
        <f>'8.Trasmissione'!L235</f>
        <v>109.17390527999999</v>
      </c>
      <c r="O108" s="1044">
        <f>'9.Ventilazione'!M91</f>
        <v>6.8469546239999985</v>
      </c>
      <c r="P108" s="1044">
        <f>'7.Apporti gratuiti'!O101</f>
        <v>48.914500311643195</v>
      </c>
      <c r="Q108" s="320">
        <f>SUM('7.Apporti gratuiti'!G543:G544)</f>
        <v>0</v>
      </c>
      <c r="R108" s="512">
        <f t="shared" si="13"/>
        <v>69.823085873776506</v>
      </c>
      <c r="S108" s="479"/>
      <c r="T108" s="145"/>
      <c r="U108" s="145"/>
      <c r="V108" s="145"/>
      <c r="W108" s="145"/>
    </row>
    <row r="109" spans="1:24" ht="15" customHeight="1">
      <c r="A109" s="1485"/>
      <c r="B109" s="1798"/>
      <c r="C109" s="1276" t="s">
        <v>588</v>
      </c>
      <c r="D109" s="641">
        <f>'8.Trasmissione'!F236</f>
        <v>34.53238799999999</v>
      </c>
      <c r="E109" s="641">
        <f>'9.Ventilazione'!I92</f>
        <v>19.680213599999998</v>
      </c>
      <c r="F109" s="641">
        <f>'7.Apporti gratuiti'!M102</f>
        <v>24.517938121468795</v>
      </c>
      <c r="G109" s="641">
        <v>0</v>
      </c>
      <c r="H109" s="1129">
        <f t="shared" si="11"/>
        <v>30.395102627021782</v>
      </c>
      <c r="I109" s="1125">
        <f>'8.Trasmissione'!I236</f>
        <v>30.639311999999993</v>
      </c>
      <c r="J109" s="1044">
        <f>'9.Ventilazione'!K92</f>
        <v>17.4615264</v>
      </c>
      <c r="K109" s="1044">
        <f>'7.Apporti gratuiti'!N102</f>
        <v>22.936135662019197</v>
      </c>
      <c r="L109" s="320">
        <v>0</v>
      </c>
      <c r="M109" s="1126">
        <f t="shared" si="12"/>
        <v>25.985556552998791</v>
      </c>
      <c r="N109" s="530">
        <f>'8.Trasmissione'!L236</f>
        <v>25.632287999999992</v>
      </c>
      <c r="O109" s="1044">
        <f>'9.Ventilazione'!M92</f>
        <v>14.607993599999999</v>
      </c>
      <c r="P109" s="1044">
        <f>'7.Apporti gratuiti'!O102</f>
        <v>24.517938121468795</v>
      </c>
      <c r="Q109" s="320">
        <v>0</v>
      </c>
      <c r="R109" s="512">
        <f t="shared" si="13"/>
        <v>17.084077247381767</v>
      </c>
      <c r="S109" s="479"/>
      <c r="T109" s="145"/>
      <c r="U109" s="145"/>
      <c r="V109" s="145"/>
      <c r="W109" s="145"/>
    </row>
    <row r="110" spans="1:24" ht="15" customHeight="1">
      <c r="A110" s="1485"/>
      <c r="B110" s="1799" t="s">
        <v>810</v>
      </c>
      <c r="C110" s="1275" t="s">
        <v>9</v>
      </c>
      <c r="D110" s="641">
        <f>'8.Trasmissione'!F237</f>
        <v>161.01222059999998</v>
      </c>
      <c r="E110" s="641">
        <f>'9.Ventilazione'!I93</f>
        <v>28.877303519999998</v>
      </c>
      <c r="F110" s="641">
        <f>'7.Apporti gratuiti'!M103</f>
        <v>35.975826035660162</v>
      </c>
      <c r="G110" s="641">
        <f>SUM('7.Apporti gratuiti'!E568:E571)</f>
        <v>2.8673420971959702</v>
      </c>
      <c r="H110" s="1129">
        <f t="shared" si="11"/>
        <v>152.15604455381131</v>
      </c>
      <c r="I110" s="1125">
        <f>'8.Trasmissione'!I237</f>
        <v>142.86019439999998</v>
      </c>
      <c r="J110" s="1044">
        <f>'9.Ventilazione'!K93</f>
        <v>25.62176448</v>
      </c>
      <c r="K110" s="1044">
        <f>'7.Apporti gratuiti'!N103</f>
        <v>33.654805001101437</v>
      </c>
      <c r="L110" s="320">
        <f>SUM('7.Apporti gratuiti'!F568:F571)</f>
        <v>3.1563933890593852</v>
      </c>
      <c r="M110" s="1126">
        <f t="shared" si="12"/>
        <v>132.98818436102704</v>
      </c>
      <c r="N110" s="530">
        <f>'8.Trasmissione'!L237</f>
        <v>119.51422559999999</v>
      </c>
      <c r="O110" s="1044">
        <f>'9.Ventilazione'!M93</f>
        <v>21.434699519999999</v>
      </c>
      <c r="P110" s="1044">
        <f>'7.Apporti gratuiti'!O103</f>
        <v>35.975826035660162</v>
      </c>
      <c r="Q110" s="320">
        <f>SUM('7.Apporti gratuiti'!G568:G571)</f>
        <v>3.7948382995561993</v>
      </c>
      <c r="R110" s="512">
        <f t="shared" si="13"/>
        <v>103.38713562436337</v>
      </c>
      <c r="S110" s="479"/>
      <c r="T110" s="145"/>
      <c r="U110" s="145"/>
      <c r="V110" s="145"/>
      <c r="W110" s="145"/>
    </row>
    <row r="111" spans="1:24" ht="15" customHeight="1">
      <c r="A111" s="1485"/>
      <c r="B111" s="1800"/>
      <c r="C111" s="1276" t="s">
        <v>804</v>
      </c>
      <c r="D111" s="641">
        <f>'8.Trasmissione'!F238</f>
        <v>543.94200344000001</v>
      </c>
      <c r="E111" s="641">
        <f>'9.Ventilazione'!I94</f>
        <v>73.187012159999981</v>
      </c>
      <c r="F111" s="641">
        <f>'7.Apporti gratuiti'!M104</f>
        <v>91.177599588353274</v>
      </c>
      <c r="G111" s="641">
        <f>SUM('7.Apporti gratuiti'!E572:E572)</f>
        <v>0.12717727255316824</v>
      </c>
      <c r="H111" s="1129">
        <f t="shared" si="11"/>
        <v>528.43267342233378</v>
      </c>
      <c r="I111" s="1125">
        <f>'8.Trasmissione'!I238</f>
        <v>482.61964255999993</v>
      </c>
      <c r="J111" s="1044">
        <f>'9.Ventilazione'!K94</f>
        <v>64.936131840000002</v>
      </c>
      <c r="K111" s="1044">
        <f>'7.Apporti gratuiti'!N104</f>
        <v>85.295173808459509</v>
      </c>
      <c r="L111" s="320">
        <f>SUM('7.Apporti gratuiti'!F572:F572)</f>
        <v>0.13961852747684775</v>
      </c>
      <c r="M111" s="1126">
        <f t="shared" si="12"/>
        <v>465.17857974562742</v>
      </c>
      <c r="N111" s="530">
        <f>'8.Trasmissione'!L238</f>
        <v>403.75076544000001</v>
      </c>
      <c r="O111" s="1044">
        <f>'9.Ventilazione'!M94</f>
        <v>54.32438015999999</v>
      </c>
      <c r="P111" s="1044">
        <f>'7.Apporti gratuiti'!O104</f>
        <v>91.177599588353274</v>
      </c>
      <c r="Q111" s="320">
        <f>SUM('7.Apporti gratuiti'!G572:G572)</f>
        <v>0.16726576064057996</v>
      </c>
      <c r="R111" s="512">
        <f t="shared" si="13"/>
        <v>371.80360196103669</v>
      </c>
      <c r="S111" s="479"/>
      <c r="T111" s="145"/>
      <c r="U111" s="145"/>
      <c r="V111" s="145"/>
      <c r="W111" s="145"/>
    </row>
    <row r="112" spans="1:24" ht="15" customHeight="1">
      <c r="A112" s="1485"/>
      <c r="B112" s="1800"/>
      <c r="C112" s="1276" t="s">
        <v>22</v>
      </c>
      <c r="D112" s="641">
        <f>'8.Trasmissione'!F239</f>
        <v>16.750192800000001</v>
      </c>
      <c r="E112" s="641">
        <f>'9.Ventilazione'!I95</f>
        <v>11.6471790864</v>
      </c>
      <c r="F112" s="641">
        <f>'7.Apporti gratuiti'!M105</f>
        <v>11.491873174953792</v>
      </c>
      <c r="G112" s="641">
        <f>SUM('7.Apporti gratuiti'!E597:E599)</f>
        <v>1.7255483221473424</v>
      </c>
      <c r="H112" s="1129">
        <f t="shared" si="11"/>
        <v>15.557551450725974</v>
      </c>
      <c r="I112" s="1125">
        <f>'8.Trasmissione'!I239</f>
        <v>14.861827200000002</v>
      </c>
      <c r="J112" s="1044">
        <f>'9.Ventilazione'!K95</f>
        <v>10.334111673600001</v>
      </c>
      <c r="K112" s="1044">
        <f>'7.Apporti gratuiti'!N105</f>
        <v>10.750462002376127</v>
      </c>
      <c r="L112" s="320">
        <f>SUM('7.Apporti gratuiti'!F597:F599)</f>
        <v>2.1877487655796668</v>
      </c>
      <c r="M112" s="1126">
        <f t="shared" si="12"/>
        <v>12.720769475161836</v>
      </c>
      <c r="N112" s="530">
        <f>'8.Trasmissione'!L239</f>
        <v>12.433132799999999</v>
      </c>
      <c r="O112" s="1044">
        <f>'9.Ventilazione'!M95</f>
        <v>8.6453288063999985</v>
      </c>
      <c r="P112" s="1044">
        <f>'7.Apporti gratuiti'!O105</f>
        <v>11.491873174953792</v>
      </c>
      <c r="Q112" s="320">
        <f>SUM('7.Apporti gratuiti'!G597:G599)</f>
        <v>3.0813362895488261</v>
      </c>
      <c r="R112" s="512">
        <f t="shared" si="13"/>
        <v>7.3146526449098701</v>
      </c>
      <c r="S112" s="479"/>
      <c r="T112" s="145"/>
      <c r="U112" s="145"/>
      <c r="V112" s="145"/>
      <c r="W112" s="145"/>
    </row>
    <row r="113" spans="1:23" ht="15" customHeight="1">
      <c r="A113" s="1485"/>
      <c r="B113" s="1800"/>
      <c r="C113" s="1276" t="s">
        <v>803</v>
      </c>
      <c r="D113" s="641">
        <f>'8.Trasmissione'!F240</f>
        <v>27.705295199999998</v>
      </c>
      <c r="E113" s="641">
        <f>'9.Ventilazione'!I96</f>
        <v>10.75591872</v>
      </c>
      <c r="F113" s="641">
        <f>'7.Apporti gratuiti'!M106</f>
        <v>5.7774943296134387</v>
      </c>
      <c r="G113" s="641">
        <f>SUM('7.Apporti gratuiti'!E588:E590)</f>
        <v>4.8225091154297086</v>
      </c>
      <c r="H113" s="1129">
        <f t="shared" si="11"/>
        <v>28.164035996020637</v>
      </c>
      <c r="I113" s="1125">
        <f>'8.Trasmissione'!I240</f>
        <v>24.581884799999997</v>
      </c>
      <c r="J113" s="1044">
        <f>'9.Ventilazione'!K96</f>
        <v>9.5433292799999982</v>
      </c>
      <c r="K113" s="1044">
        <f>'7.Apporti gratuiti'!N106</f>
        <v>5.4047527599609593</v>
      </c>
      <c r="L113" s="320">
        <f>SUM('7.Apporti gratuiti'!F588:F590)</f>
        <v>4.9483137010496145</v>
      </c>
      <c r="M113" s="1126">
        <f t="shared" si="12"/>
        <v>24.142670109215537</v>
      </c>
      <c r="N113" s="530">
        <f>'8.Trasmissione'!L240</f>
        <v>20.564755199999997</v>
      </c>
      <c r="O113" s="1044">
        <f>'9.Ventilazione'!M96</f>
        <v>7.9837747199999995</v>
      </c>
      <c r="P113" s="1044">
        <f>'7.Apporti gratuiti'!O106</f>
        <v>5.7774943296134387</v>
      </c>
      <c r="Q113" s="320">
        <f>SUM('7.Apporti gratuiti'!G588:G590)</f>
        <v>5.2418577341627266</v>
      </c>
      <c r="R113" s="512">
        <f t="shared" si="13"/>
        <v>18.141196034169958</v>
      </c>
      <c r="S113" s="479"/>
      <c r="T113" s="145"/>
      <c r="U113" s="145"/>
      <c r="V113" s="145"/>
      <c r="W113" s="145"/>
    </row>
    <row r="114" spans="1:23" ht="15" customHeight="1">
      <c r="A114" s="1485"/>
      <c r="B114" s="1800"/>
      <c r="C114" s="1276" t="s">
        <v>802</v>
      </c>
      <c r="D114" s="641">
        <f>'8.Trasmissione'!F241</f>
        <v>114.13240901333333</v>
      </c>
      <c r="E114" s="641">
        <f>'9.Ventilazione'!I97</f>
        <v>4.6375156799999999</v>
      </c>
      <c r="F114" s="641">
        <f>'7.Apporti gratuiti'!M107</f>
        <v>37.808602598205603</v>
      </c>
      <c r="G114" s="641">
        <v>0</v>
      </c>
      <c r="H114" s="1129">
        <f t="shared" si="11"/>
        <v>82.041454742428812</v>
      </c>
      <c r="I114" s="1125">
        <f>'8.Trasmissione'!I241</f>
        <v>101.26546965333331</v>
      </c>
      <c r="J114" s="1044">
        <f>'9.Ventilazione'!K97</f>
        <v>4.1146963200000002</v>
      </c>
      <c r="K114" s="1044">
        <f>'7.Apporti gratuiti'!N107</f>
        <v>35.369337914450398</v>
      </c>
      <c r="L114" s="320">
        <v>0</v>
      </c>
      <c r="M114" s="1126">
        <f t="shared" si="12"/>
        <v>71.276649659764615</v>
      </c>
      <c r="N114" s="530">
        <f>'8.Trasmissione'!L241</f>
        <v>84.716839679999978</v>
      </c>
      <c r="O114" s="1044">
        <f>'9.Ventilazione'!M97</f>
        <v>3.4422796799999991</v>
      </c>
      <c r="P114" s="1044">
        <f>'7.Apporti gratuiti'!O107</f>
        <v>37.808602598205603</v>
      </c>
      <c r="Q114" s="320">
        <v>0</v>
      </c>
      <c r="R114" s="512">
        <f t="shared" si="13"/>
        <v>52.45041809346246</v>
      </c>
      <c r="S114" s="479"/>
      <c r="T114" s="145"/>
      <c r="U114" s="145"/>
      <c r="V114" s="145"/>
      <c r="W114" s="145"/>
    </row>
    <row r="115" spans="1:23" ht="15" customHeight="1">
      <c r="A115" s="1485"/>
      <c r="B115" s="1800"/>
      <c r="C115" s="1276" t="s">
        <v>587</v>
      </c>
      <c r="D115" s="641">
        <f>'8.Trasmissione'!F242</f>
        <v>59.098896413333314</v>
      </c>
      <c r="E115" s="641">
        <f>'9.Ventilazione'!I98</f>
        <v>39.263000399999996</v>
      </c>
      <c r="F115" s="641">
        <f>'7.Apporti gratuiti'!M108</f>
        <v>13.399902814901758</v>
      </c>
      <c r="G115" s="641">
        <f>SUM('7.Apporti gratuiti'!E600:E603)</f>
        <v>1.7308818435057003</v>
      </c>
      <c r="H115" s="1129">
        <f t="shared" si="11"/>
        <v>83.663375009559999</v>
      </c>
      <c r="I115" s="1125">
        <f>'8.Trasmissione'!I242</f>
        <v>52.43626725333332</v>
      </c>
      <c r="J115" s="1044">
        <f>'9.Ventilazione'!K98</f>
        <v>34.836609599999996</v>
      </c>
      <c r="K115" s="1044">
        <f>'7.Apporti gratuiti'!N108</f>
        <v>12.535392955875837</v>
      </c>
      <c r="L115" s="320">
        <f>SUM('7.Apporti gratuiti'!F600:F603)</f>
        <v>2.1945109087304417</v>
      </c>
      <c r="M115" s="1126">
        <f t="shared" si="12"/>
        <v>73.070136673154167</v>
      </c>
      <c r="N115" s="530">
        <f>'8.Trasmissione'!L242</f>
        <v>43.867222079999983</v>
      </c>
      <c r="O115" s="1044">
        <f>'9.Ventilazione'!M98</f>
        <v>29.143670399999994</v>
      </c>
      <c r="P115" s="1044">
        <f>'7.Apporti gratuiti'!O108</f>
        <v>13.399902814901758</v>
      </c>
      <c r="Q115" s="320">
        <f>SUM('7.Apporti gratuiti'!G600:G603)</f>
        <v>3.0908604348316078</v>
      </c>
      <c r="R115" s="512">
        <f t="shared" si="13"/>
        <v>57.436031255960145</v>
      </c>
      <c r="S115" s="479"/>
      <c r="T115" s="145"/>
      <c r="U115" s="145"/>
      <c r="V115" s="145"/>
      <c r="W115" s="145"/>
    </row>
    <row r="116" spans="1:23" ht="15" customHeight="1">
      <c r="A116" s="1485"/>
      <c r="B116" s="1800"/>
      <c r="C116" s="1276" t="s">
        <v>20</v>
      </c>
      <c r="D116" s="641">
        <f>'8.Trasmissione'!F243</f>
        <v>158.78327182666663</v>
      </c>
      <c r="E116" s="641">
        <f>'9.Ventilazione'!I99</f>
        <v>26.578031039999999</v>
      </c>
      <c r="F116" s="641">
        <f>'7.Apporti gratuiti'!M109</f>
        <v>33.111354057112315</v>
      </c>
      <c r="G116" s="641">
        <f>SUM('7.Apporti gratuiti'!E591:E596)</f>
        <v>8.2910240608544186</v>
      </c>
      <c r="H116" s="1129">
        <f t="shared" si="11"/>
        <v>145.14172594228967</v>
      </c>
      <c r="I116" s="1125">
        <f>'8.Trasmissione'!I243</f>
        <v>140.88253050666663</v>
      </c>
      <c r="J116" s="1044">
        <f>'9.Ventilazione'!K99</f>
        <v>23.581704960000003</v>
      </c>
      <c r="K116" s="1044">
        <f>'7.Apporti gratuiti'!N109</f>
        <v>30.97513766633088</v>
      </c>
      <c r="L116" s="320">
        <f>SUM('7.Apporti gratuiti'!F591:F596)</f>
        <v>9.3341680599078813</v>
      </c>
      <c r="M116" s="1126">
        <f t="shared" si="12"/>
        <v>125.59754622446364</v>
      </c>
      <c r="N116" s="530">
        <f>'8.Trasmissione'!L243</f>
        <v>117.85974815999997</v>
      </c>
      <c r="O116" s="1044">
        <f>'9.Ventilazione'!M99</f>
        <v>19.72802304</v>
      </c>
      <c r="P116" s="1044">
        <f>'7.Apporti gratuiti'!O109</f>
        <v>33.111354057112315</v>
      </c>
      <c r="Q116" s="320">
        <f>SUM('7.Apporti gratuiti'!G591:G596)</f>
        <v>11.401741099284706</v>
      </c>
      <c r="R116" s="512">
        <f t="shared" si="13"/>
        <v>95.546946938905023</v>
      </c>
      <c r="S116" s="479"/>
      <c r="T116" s="145"/>
      <c r="U116" s="145"/>
      <c r="V116" s="145"/>
      <c r="W116" s="145"/>
    </row>
    <row r="117" spans="1:23" ht="15" customHeight="1">
      <c r="A117" s="1485"/>
      <c r="B117" s="1800"/>
      <c r="C117" s="1276" t="s">
        <v>586</v>
      </c>
      <c r="D117" s="641">
        <f>'8.Trasmissione'!F244</f>
        <v>63.06813641333332</v>
      </c>
      <c r="E117" s="641">
        <f>'9.Ventilazione'!I100</f>
        <v>30.348448200000007</v>
      </c>
      <c r="F117" s="641">
        <f>'7.Apporti gratuiti'!M110</f>
        <v>14.510249834382929</v>
      </c>
      <c r="G117" s="641">
        <f>SUM('7.Apporti gratuiti'!E584:E587)</f>
        <v>9.6293714207519905</v>
      </c>
      <c r="H117" s="1129">
        <f t="shared" si="11"/>
        <v>69.966594585468144</v>
      </c>
      <c r="I117" s="1125">
        <f>'8.Trasmissione'!I244</f>
        <v>55.958027253333327</v>
      </c>
      <c r="J117" s="1044">
        <f>'9.Ventilazione'!K100</f>
        <v>26.927056800000006</v>
      </c>
      <c r="K117" s="1044">
        <f>'7.Apporti gratuiti'!N110</f>
        <v>13.574104683777577</v>
      </c>
      <c r="L117" s="320">
        <f>SUM('7.Apporti gratuiti'!F584:F587)</f>
        <v>9.8805724143368252</v>
      </c>
      <c r="M117" s="1126">
        <f t="shared" si="12"/>
        <v>60.269818679133863</v>
      </c>
      <c r="N117" s="530">
        <f>'8.Trasmissione'!L244</f>
        <v>46.813462079999994</v>
      </c>
      <c r="O117" s="1044">
        <f>'9.Ventilazione'!M100</f>
        <v>22.526683200000008</v>
      </c>
      <c r="P117" s="1044">
        <f>'7.Apporti gratuiti'!O110</f>
        <v>14.510249834382929</v>
      </c>
      <c r="Q117" s="320">
        <f>SUM('7.Apporti gratuiti'!G584:G587)</f>
        <v>10.466708066034773</v>
      </c>
      <c r="R117" s="512">
        <f t="shared" si="13"/>
        <v>45.750415247099255</v>
      </c>
      <c r="S117" s="479"/>
      <c r="T117" s="145"/>
      <c r="U117" s="145"/>
      <c r="V117" s="145"/>
      <c r="W117" s="145"/>
    </row>
    <row r="118" spans="1:23" ht="15" customHeight="1">
      <c r="A118" s="1485"/>
      <c r="B118" s="1800"/>
      <c r="C118" s="1276" t="s">
        <v>19</v>
      </c>
      <c r="D118" s="641">
        <f>'8.Trasmissione'!F245</f>
        <v>147.08151127999997</v>
      </c>
      <c r="E118" s="641">
        <f>'9.Ventilazione'!I101</f>
        <v>9.2243694239999989</v>
      </c>
      <c r="F118" s="641">
        <f>'7.Apporti gratuiti'!M111</f>
        <v>48.914500311643195</v>
      </c>
      <c r="G118" s="641">
        <v>0</v>
      </c>
      <c r="H118" s="1129">
        <f t="shared" si="11"/>
        <v>108.78879116880088</v>
      </c>
      <c r="I118" s="1125">
        <f>'8.Trasmissione'!I245</f>
        <v>130.49999072</v>
      </c>
      <c r="J118" s="1044">
        <f>'9.Ventilazione'!K101</f>
        <v>8.1844421759999992</v>
      </c>
      <c r="K118" s="1044">
        <f>'7.Apporti gratuiti'!N111</f>
        <v>45.758726097988792</v>
      </c>
      <c r="L118" s="320">
        <v>0</v>
      </c>
      <c r="M118" s="1126">
        <f t="shared" si="12"/>
        <v>94.563350795299584</v>
      </c>
      <c r="N118" s="530">
        <f>'8.Trasmissione'!L245</f>
        <v>109.17390527999999</v>
      </c>
      <c r="O118" s="1044">
        <f>'9.Ventilazione'!M101</f>
        <v>6.8469546239999985</v>
      </c>
      <c r="P118" s="1044">
        <f>'7.Apporti gratuiti'!O111</f>
        <v>48.914500311643195</v>
      </c>
      <c r="Q118" s="320">
        <v>0</v>
      </c>
      <c r="R118" s="512">
        <f t="shared" si="13"/>
        <v>69.823085873776506</v>
      </c>
      <c r="S118" s="479"/>
      <c r="T118" s="145"/>
      <c r="U118" s="145"/>
      <c r="V118" s="145"/>
      <c r="W118" s="145"/>
    </row>
    <row r="119" spans="1:23" ht="15" customHeight="1">
      <c r="A119" s="1486"/>
      <c r="B119" s="1801"/>
      <c r="C119" s="1276" t="s">
        <v>588</v>
      </c>
      <c r="D119" s="641">
        <f>'8.Trasmissione'!F246</f>
        <v>34.53238799999999</v>
      </c>
      <c r="E119" s="641">
        <f>'9.Ventilazione'!I102</f>
        <v>19.680213599999998</v>
      </c>
      <c r="F119" s="641">
        <f>'7.Apporti gratuiti'!M112</f>
        <v>24.517938121468795</v>
      </c>
      <c r="G119" s="641">
        <v>0</v>
      </c>
      <c r="H119" s="1129">
        <f t="shared" si="11"/>
        <v>30.395102627021782</v>
      </c>
      <c r="I119" s="1125">
        <f>'8.Trasmissione'!I246</f>
        <v>30.639311999999993</v>
      </c>
      <c r="J119" s="1044">
        <f>'9.Ventilazione'!K102</f>
        <v>17.4615264</v>
      </c>
      <c r="K119" s="1044">
        <f>'7.Apporti gratuiti'!N112</f>
        <v>22.936135662019197</v>
      </c>
      <c r="L119" s="320">
        <v>0</v>
      </c>
      <c r="M119" s="1126">
        <f t="shared" si="12"/>
        <v>25.985556552998791</v>
      </c>
      <c r="N119" s="530">
        <f>'8.Trasmissione'!L246</f>
        <v>25.632287999999992</v>
      </c>
      <c r="O119" s="1044">
        <f>'9.Ventilazione'!M102</f>
        <v>14.607993599999999</v>
      </c>
      <c r="P119" s="1044">
        <f>'7.Apporti gratuiti'!O112</f>
        <v>24.517938121468795</v>
      </c>
      <c r="Q119" s="320">
        <v>0</v>
      </c>
      <c r="R119" s="512">
        <f t="shared" si="13"/>
        <v>17.084077247381767</v>
      </c>
      <c r="S119" s="479"/>
      <c r="T119" s="145"/>
      <c r="U119" s="145"/>
      <c r="V119" s="145"/>
      <c r="W119" s="145"/>
    </row>
    <row r="120" spans="1:23" ht="15" customHeight="1">
      <c r="A120" s="1369" t="s">
        <v>835</v>
      </c>
      <c r="B120" s="1796" t="s">
        <v>809</v>
      </c>
      <c r="C120" s="1275" t="s">
        <v>9</v>
      </c>
      <c r="D120" s="641">
        <f>'8.Trasmissione'!F247</f>
        <v>121.161051</v>
      </c>
      <c r="E120" s="641">
        <f>'9.Ventilazione'!I103</f>
        <v>28.877303519999998</v>
      </c>
      <c r="F120" s="641">
        <f>'7.Apporti gratuiti'!M113</f>
        <v>35.975826035660162</v>
      </c>
      <c r="G120" s="641">
        <f>SUM('7.Apporti gratuiti'!E604:E607)</f>
        <v>6.8494823998406735</v>
      </c>
      <c r="H120" s="1129">
        <f t="shared" si="11"/>
        <v>108.43649817193807</v>
      </c>
      <c r="I120" s="1125">
        <f>'8.Trasmissione'!I247</f>
        <v>107.50172399999998</v>
      </c>
      <c r="J120" s="1044">
        <f>'9.Ventilazione'!K103</f>
        <v>25.62176448</v>
      </c>
      <c r="K120" s="1044">
        <f>'7.Apporti gratuiti'!N113</f>
        <v>33.654805001101437</v>
      </c>
      <c r="L120" s="320">
        <f>SUM('7.Apporti gratuiti'!F604:F607)</f>
        <v>9.8848166681204859</v>
      </c>
      <c r="M120" s="1126">
        <f t="shared" si="12"/>
        <v>91.142092009576643</v>
      </c>
      <c r="N120" s="530">
        <f>'8.Trasmissione'!L247</f>
        <v>89.933976000000001</v>
      </c>
      <c r="O120" s="1044">
        <f>'9.Ventilazione'!M103</f>
        <v>21.434699519999999</v>
      </c>
      <c r="P120" s="1044">
        <f>'7.Apporti gratuiti'!O113</f>
        <v>35.975826035660162</v>
      </c>
      <c r="Q120" s="320">
        <f>SUM('7.Apporti gratuiti'!G604:G607)</f>
        <v>15.954587213839169</v>
      </c>
      <c r="R120" s="512">
        <f t="shared" si="13"/>
        <v>62.322493277278816</v>
      </c>
      <c r="S120" s="479"/>
      <c r="T120" s="145"/>
      <c r="U120" s="145"/>
      <c r="V120" s="145"/>
      <c r="W120" s="145"/>
    </row>
    <row r="121" spans="1:23" ht="15" customHeight="1">
      <c r="A121" s="1370"/>
      <c r="B121" s="1797"/>
      <c r="C121" s="1276" t="s">
        <v>804</v>
      </c>
      <c r="D121" s="641">
        <f>'8.Trasmissione'!F248</f>
        <v>443.04392264000001</v>
      </c>
      <c r="E121" s="641">
        <f>'9.Ventilazione'!I104</f>
        <v>73.187012159999981</v>
      </c>
      <c r="F121" s="641">
        <f>'7.Apporti gratuiti'!M114</f>
        <v>91.177599588353274</v>
      </c>
      <c r="G121" s="641">
        <f>SUM('7.Apporti gratuiti'!E608:E614)</f>
        <v>25.760910916147875</v>
      </c>
      <c r="H121" s="1129">
        <f t="shared" si="11"/>
        <v>402.63317466030253</v>
      </c>
      <c r="I121" s="1125">
        <f>'8.Trasmissione'!I248</f>
        <v>393.09650336000004</v>
      </c>
      <c r="J121" s="1044">
        <f>'9.Ventilazione'!K104</f>
        <v>64.936131840000002</v>
      </c>
      <c r="K121" s="1044">
        <f>'7.Apporti gratuiti'!N114</f>
        <v>85.295173808459509</v>
      </c>
      <c r="L121" s="320">
        <f>SUM('7.Apporti gratuiti'!F608:F614)</f>
        <v>36.874086634785883</v>
      </c>
      <c r="M121" s="1126">
        <f t="shared" si="12"/>
        <v>340.23565023465164</v>
      </c>
      <c r="N121" s="530">
        <f>'8.Trasmissione'!L248</f>
        <v>328.85734464000001</v>
      </c>
      <c r="O121" s="1044">
        <f>'9.Ventilazione'!M104</f>
        <v>54.32438015999999</v>
      </c>
      <c r="P121" s="1044">
        <f>'7.Apporti gratuiti'!O114</f>
        <v>91.177599588353274</v>
      </c>
      <c r="Q121" s="320">
        <f>SUM('7.Apporti gratuiti'!G608:G614)</f>
        <v>58.34417252284954</v>
      </c>
      <c r="R121" s="512">
        <f t="shared" si="13"/>
        <v>241.96443756242189</v>
      </c>
      <c r="S121" s="479"/>
      <c r="T121" s="145"/>
      <c r="U121" s="145"/>
      <c r="V121" s="145"/>
      <c r="W121" s="145"/>
    </row>
    <row r="122" spans="1:23" ht="15" customHeight="1">
      <c r="A122" s="1370"/>
      <c r="B122" s="1797"/>
      <c r="C122" s="1276" t="s">
        <v>22</v>
      </c>
      <c r="D122" s="641">
        <f>'8.Trasmissione'!F249</f>
        <v>4.0486247999999998</v>
      </c>
      <c r="E122" s="641">
        <f>'9.Ventilazione'!I105</f>
        <v>11.6471790864</v>
      </c>
      <c r="F122" s="641">
        <f>'7.Apporti gratuiti'!M115</f>
        <v>11.491873174953792</v>
      </c>
      <c r="G122" s="641">
        <f>SUM('7.Apporti gratuiti'!E633:E635)</f>
        <v>8.4534116554806751</v>
      </c>
      <c r="H122" s="1129">
        <f t="shared" si="11"/>
        <v>-3.6796753488894645</v>
      </c>
      <c r="I122" s="1125">
        <f>'8.Trasmissione'!I249</f>
        <v>3.5921951999999999</v>
      </c>
      <c r="J122" s="1044">
        <f>'9.Ventilazione'!K105</f>
        <v>10.334111673600001</v>
      </c>
      <c r="K122" s="1044">
        <f>'7.Apporti gratuiti'!N115</f>
        <v>10.750462002376127</v>
      </c>
      <c r="L122" s="320">
        <f>SUM('7.Apporti gratuiti'!F633:F635)</f>
        <v>10.717718348912999</v>
      </c>
      <c r="M122" s="1126">
        <f t="shared" si="12"/>
        <v>-6.7735558324446679</v>
      </c>
      <c r="N122" s="530">
        <f>'8.Trasmissione'!L249</f>
        <v>3.0051648000000002</v>
      </c>
      <c r="O122" s="1044">
        <f>'9.Ventilazione'!M105</f>
        <v>8.6453288063999985</v>
      </c>
      <c r="P122" s="1044">
        <f>'7.Apporti gratuiti'!O115</f>
        <v>11.491873174953792</v>
      </c>
      <c r="Q122" s="320">
        <f>SUM('7.Apporti gratuiti'!G633:G635)</f>
        <v>15.095377956215492</v>
      </c>
      <c r="R122" s="512">
        <f t="shared" si="13"/>
        <v>-13.460093479576937</v>
      </c>
      <c r="S122" s="479"/>
      <c r="T122" s="145"/>
      <c r="U122" s="145"/>
      <c r="V122" s="145"/>
      <c r="W122" s="145"/>
    </row>
    <row r="123" spans="1:23" ht="15" customHeight="1">
      <c r="A123" s="1370"/>
      <c r="B123" s="1797"/>
      <c r="C123" s="1276" t="s">
        <v>803</v>
      </c>
      <c r="D123" s="641">
        <f>'8.Trasmissione'!F250</f>
        <v>21.275126399999994</v>
      </c>
      <c r="E123" s="641">
        <f>'9.Ventilazione'!I106</f>
        <v>10.75591872</v>
      </c>
      <c r="F123" s="641">
        <f>'7.Apporti gratuiti'!M116</f>
        <v>5.7774943296134387</v>
      </c>
      <c r="G123" s="641">
        <f>SUM('7.Apporti gratuiti'!E624:E626)</f>
        <v>3.4665544272526079</v>
      </c>
      <c r="H123" s="1129">
        <f t="shared" si="11"/>
        <v>23.051084379336057</v>
      </c>
      <c r="I123" s="1125">
        <f>'8.Trasmissione'!I250</f>
        <v>18.876633599999998</v>
      </c>
      <c r="J123" s="1044">
        <f>'9.Ventilazione'!K106</f>
        <v>9.5433292799999982</v>
      </c>
      <c r="K123" s="1044">
        <f>'7.Apporti gratuiti'!N116</f>
        <v>5.4047527599609593</v>
      </c>
      <c r="L123" s="320">
        <f>SUM('7.Apporti gratuiti'!F624:F626)</f>
        <v>4.6723124889056891</v>
      </c>
      <c r="M123" s="1126">
        <f t="shared" si="12"/>
        <v>18.7035424047608</v>
      </c>
      <c r="N123" s="530">
        <f>'8.Trasmissione'!L250</f>
        <v>15.791846399999995</v>
      </c>
      <c r="O123" s="1044">
        <f>'9.Ventilazione'!M106</f>
        <v>7.9837747199999995</v>
      </c>
      <c r="P123" s="1044">
        <f>'7.Apporti gratuiti'!O116</f>
        <v>5.7774943296134387</v>
      </c>
      <c r="Q123" s="320">
        <f>SUM('7.Apporti gratuiti'!G624:G626)</f>
        <v>6.3302298236786774</v>
      </c>
      <c r="R123" s="512">
        <f t="shared" si="13"/>
        <v>12.340363662797163</v>
      </c>
      <c r="S123" s="479"/>
      <c r="T123" s="145"/>
      <c r="U123" s="145"/>
      <c r="V123" s="145"/>
      <c r="W123" s="145"/>
    </row>
    <row r="124" spans="1:23" ht="15" customHeight="1">
      <c r="A124" s="1370"/>
      <c r="B124" s="1797"/>
      <c r="C124" s="1276" t="s">
        <v>802</v>
      </c>
      <c r="D124" s="641">
        <f>'8.Trasmissione'!F251</f>
        <v>72.296619413333332</v>
      </c>
      <c r="E124" s="641">
        <f>'9.Ventilazione'!I107</f>
        <v>4.6375156799999999</v>
      </c>
      <c r="F124" s="641">
        <f>'7.Apporti gratuiti'!M117</f>
        <v>37.808602598205603</v>
      </c>
      <c r="G124" s="641">
        <v>0</v>
      </c>
      <c r="H124" s="1129">
        <f t="shared" si="11"/>
        <v>40.205665142428821</v>
      </c>
      <c r="I124" s="1125">
        <f>'8.Trasmissione'!I251</f>
        <v>64.146119253333325</v>
      </c>
      <c r="J124" s="1044">
        <f>'9.Ventilazione'!K107</f>
        <v>4.1146963200000002</v>
      </c>
      <c r="K124" s="1044">
        <f>'7.Apporti gratuiti'!N117</f>
        <v>35.369337914450398</v>
      </c>
      <c r="L124" s="320">
        <v>0</v>
      </c>
      <c r="M124" s="1126">
        <f t="shared" si="12"/>
        <v>34.157299259764642</v>
      </c>
      <c r="N124" s="530">
        <f>'8.Trasmissione'!L251</f>
        <v>53.663470079999989</v>
      </c>
      <c r="O124" s="1044">
        <f>'9.Ventilazione'!M107</f>
        <v>3.4422796799999991</v>
      </c>
      <c r="P124" s="1044">
        <f>'7.Apporti gratuiti'!O117</f>
        <v>37.808602598205603</v>
      </c>
      <c r="Q124" s="320">
        <v>0</v>
      </c>
      <c r="R124" s="512">
        <f t="shared" si="13"/>
        <v>21.397048493462471</v>
      </c>
      <c r="S124" s="479"/>
      <c r="T124" s="145"/>
      <c r="U124" s="145"/>
      <c r="V124" s="145"/>
      <c r="W124" s="145"/>
    </row>
    <row r="125" spans="1:23" ht="15" customHeight="1">
      <c r="A125" s="1370"/>
      <c r="B125" s="1797"/>
      <c r="C125" s="1276" t="s">
        <v>587</v>
      </c>
      <c r="D125" s="641">
        <f>'8.Trasmissione'!F252</f>
        <v>44.253938813333328</v>
      </c>
      <c r="E125" s="641">
        <f>'9.Ventilazione'!I108</f>
        <v>39.263000399999996</v>
      </c>
      <c r="F125" s="641">
        <f>'7.Apporti gratuiti'!M118</f>
        <v>13.399902814901758</v>
      </c>
      <c r="G125" s="641">
        <f>SUM('7.Apporti gratuiti'!E636:E639)</f>
        <v>8.4587451768390345</v>
      </c>
      <c r="H125" s="1129">
        <f t="shared" si="11"/>
        <v>62.28275860994458</v>
      </c>
      <c r="I125" s="1125">
        <f>'8.Trasmissione'!I252</f>
        <v>39.264884853333321</v>
      </c>
      <c r="J125" s="1044">
        <f>'9.Ventilazione'!K108</f>
        <v>34.836609599999996</v>
      </c>
      <c r="K125" s="1044">
        <f>'7.Apporti gratuiti'!N118</f>
        <v>12.535392955875837</v>
      </c>
      <c r="L125" s="320">
        <f>SUM('7.Apporti gratuiti'!F636:F639)</f>
        <v>10.724480492063774</v>
      </c>
      <c r="M125" s="1126">
        <f t="shared" si="12"/>
        <v>51.67406096554766</v>
      </c>
      <c r="N125" s="530">
        <f>'8.Trasmissione'!L252</f>
        <v>32.84828447999999</v>
      </c>
      <c r="O125" s="1044">
        <f>'9.Ventilazione'!M108</f>
        <v>29.143670399999994</v>
      </c>
      <c r="P125" s="1044">
        <f>'7.Apporti gratuiti'!O118</f>
        <v>13.399902814901758</v>
      </c>
      <c r="Q125" s="320">
        <f>SUM('7.Apporti gratuiti'!G636:G639)</f>
        <v>15.104902101498274</v>
      </c>
      <c r="R125" s="512">
        <f t="shared" si="13"/>
        <v>35.070315531473334</v>
      </c>
      <c r="S125" s="479"/>
      <c r="U125" s="145"/>
      <c r="V125" s="145"/>
      <c r="W125" s="145"/>
    </row>
    <row r="126" spans="1:23" ht="15" customHeight="1">
      <c r="A126" s="1370"/>
      <c r="B126" s="1797"/>
      <c r="C126" s="1276" t="s">
        <v>20</v>
      </c>
      <c r="D126" s="641">
        <f>'8.Trasmissione'!F253</f>
        <v>122.10749422666663</v>
      </c>
      <c r="E126" s="641">
        <f>'9.Ventilazione'!I109</f>
        <v>26.578031039999999</v>
      </c>
      <c r="F126" s="641">
        <f>'7.Apporti gratuiti'!M119</f>
        <v>33.111354057112315</v>
      </c>
      <c r="G126" s="641">
        <f>SUM('7.Apporti gratuiti'!E627:E632)</f>
        <v>20.351991950277565</v>
      </c>
      <c r="H126" s="1129">
        <f t="shared" si="11"/>
        <v>96.749543443301803</v>
      </c>
      <c r="I126" s="1125">
        <f>'8.Trasmissione'!I253</f>
        <v>108.34146810666664</v>
      </c>
      <c r="J126" s="1044">
        <f>'9.Ventilazione'!K109</f>
        <v>23.581704960000003</v>
      </c>
      <c r="K126" s="1044">
        <f>'7.Apporti gratuiti'!N119</f>
        <v>30.97513766633088</v>
      </c>
      <c r="L126" s="320">
        <f>SUM('7.Apporti gratuiti'!F627:F632)</f>
        <v>26.08141084324825</v>
      </c>
      <c r="M126" s="1126">
        <f t="shared" si="12"/>
        <v>76.908602604566681</v>
      </c>
      <c r="N126" s="530">
        <f>'8.Trasmissione'!L253</f>
        <v>90.63649055999997</v>
      </c>
      <c r="O126" s="1044">
        <f>'9.Ventilazione'!M109</f>
        <v>19.72802304</v>
      </c>
      <c r="P126" s="1044">
        <f>'7.Apporti gratuiti'!O119</f>
        <v>33.111354057112315</v>
      </c>
      <c r="Q126" s="320">
        <f>SUM('7.Apporti gratuiti'!G627:G632)</f>
        <v>36.48318848525885</v>
      </c>
      <c r="R126" s="512">
        <f t="shared" si="13"/>
        <v>44.635273198377391</v>
      </c>
      <c r="S126" s="479"/>
      <c r="T126" s="145"/>
      <c r="U126" s="145"/>
      <c r="V126" s="145"/>
      <c r="W126" s="145"/>
    </row>
    <row r="127" spans="1:23" ht="15" customHeight="1">
      <c r="A127" s="1370"/>
      <c r="B127" s="1797"/>
      <c r="C127" s="1276" t="s">
        <v>586</v>
      </c>
      <c r="D127" s="641">
        <f>'8.Trasmissione'!F254</f>
        <v>47.032406813333317</v>
      </c>
      <c r="E127" s="641">
        <f>'9.Ventilazione'!I110</f>
        <v>30.348448200000007</v>
      </c>
      <c r="F127" s="641">
        <f>'7.Apporti gratuiti'!M120</f>
        <v>14.510249834382929</v>
      </c>
      <c r="G127" s="641">
        <f>SUM('7.Apporti gratuiti'!E620:E623)</f>
        <v>6.9299794924837306</v>
      </c>
      <c r="H127" s="1129">
        <f t="shared" si="11"/>
        <v>56.553139507928826</v>
      </c>
      <c r="I127" s="1125">
        <f>'8.Trasmissione'!I254</f>
        <v>41.730116853333321</v>
      </c>
      <c r="J127" s="1044">
        <f>'9.Ventilazione'!K110</f>
        <v>26.927056800000006</v>
      </c>
      <c r="K127" s="1044">
        <f>'7.Apporti gratuiti'!N120</f>
        <v>13.574104683777577</v>
      </c>
      <c r="L127" s="320">
        <f>SUM('7.Apporti gratuiti'!F620:F623)</f>
        <v>9.3419255629198013</v>
      </c>
      <c r="M127" s="1126">
        <f t="shared" si="12"/>
        <v>46.561277675558102</v>
      </c>
      <c r="N127" s="530">
        <f>'8.Trasmissione'!L254</f>
        <v>34.910652479999989</v>
      </c>
      <c r="O127" s="1044">
        <f>'9.Ventilazione'!M110</f>
        <v>22.526683200000008</v>
      </c>
      <c r="P127" s="1044">
        <f>'7.Apporti gratuiti'!O120</f>
        <v>14.510249834382929</v>
      </c>
      <c r="Q127" s="320">
        <f>SUM('7.Apporti gratuiti'!G620:G623)</f>
        <v>12.656802375568766</v>
      </c>
      <c r="R127" s="512">
        <f t="shared" si="13"/>
        <v>31.779149844175588</v>
      </c>
      <c r="S127" s="479"/>
      <c r="T127" s="145"/>
      <c r="U127" s="145"/>
      <c r="V127" s="145"/>
      <c r="W127" s="145"/>
    </row>
    <row r="128" spans="1:23" ht="15" customHeight="1">
      <c r="A128" s="1370"/>
      <c r="B128" s="1797"/>
      <c r="C128" s="1276" t="s">
        <v>19</v>
      </c>
      <c r="D128" s="641">
        <f>'8.Trasmissione'!F255</f>
        <v>92.941077679999992</v>
      </c>
      <c r="E128" s="641">
        <f>'9.Ventilazione'!I111</f>
        <v>9.2243694239999989</v>
      </c>
      <c r="F128" s="641">
        <f>'7.Apporti gratuiti'!M121</f>
        <v>48.914500311643195</v>
      </c>
      <c r="G128" s="641">
        <v>0</v>
      </c>
      <c r="H128" s="1129">
        <f t="shared" si="11"/>
        <v>54.648357568800904</v>
      </c>
      <c r="I128" s="1125">
        <f>'8.Trasmissione'!I255</f>
        <v>82.463184319999996</v>
      </c>
      <c r="J128" s="1044">
        <f>'9.Ventilazione'!K111</f>
        <v>8.1844421759999992</v>
      </c>
      <c r="K128" s="1044">
        <f>'7.Apporti gratuiti'!N121</f>
        <v>45.758726097988792</v>
      </c>
      <c r="L128" s="320">
        <v>0</v>
      </c>
      <c r="M128" s="1126">
        <f t="shared" si="12"/>
        <v>46.526544395299588</v>
      </c>
      <c r="N128" s="530">
        <f>'8.Trasmissione'!L255</f>
        <v>68.987191679999995</v>
      </c>
      <c r="O128" s="1044">
        <f>'9.Ventilazione'!M111</f>
        <v>6.8469546239999985</v>
      </c>
      <c r="P128" s="1044">
        <f>'7.Apporti gratuiti'!O121</f>
        <v>48.914500311643195</v>
      </c>
      <c r="Q128" s="320">
        <v>0</v>
      </c>
      <c r="R128" s="512">
        <f t="shared" si="13"/>
        <v>29.636372273776509</v>
      </c>
      <c r="S128" s="479"/>
      <c r="T128" s="145"/>
      <c r="U128" s="145"/>
      <c r="V128" s="145"/>
      <c r="W128" s="145"/>
    </row>
    <row r="129" spans="1:23" ht="15" customHeight="1">
      <c r="A129" s="1370"/>
      <c r="B129" s="1798"/>
      <c r="C129" s="1276" t="s">
        <v>588</v>
      </c>
      <c r="D129" s="641">
        <f>'8.Trasmissione'!F256</f>
        <v>7.3827863999999996</v>
      </c>
      <c r="E129" s="641">
        <f>'9.Ventilazione'!I112</f>
        <v>19.680213599999998</v>
      </c>
      <c r="F129" s="641">
        <f>'7.Apporti gratuiti'!M122</f>
        <v>24.517938121468795</v>
      </c>
      <c r="G129" s="641">
        <v>0</v>
      </c>
      <c r="H129" s="1129">
        <f t="shared" si="11"/>
        <v>3.2455010270217954</v>
      </c>
      <c r="I129" s="1125">
        <f>'8.Trasmissione'!I256</f>
        <v>6.5504736000000001</v>
      </c>
      <c r="J129" s="1044">
        <f>'9.Ventilazione'!K112</f>
        <v>17.4615264</v>
      </c>
      <c r="K129" s="1044">
        <f>'7.Apporti gratuiti'!N122</f>
        <v>22.936135662019197</v>
      </c>
      <c r="L129" s="320">
        <v>0</v>
      </c>
      <c r="M129" s="1126">
        <f t="shared" si="12"/>
        <v>1.8967181529987975</v>
      </c>
      <c r="N129" s="530">
        <f>'8.Trasmissione'!L256</f>
        <v>5.4800064000000006</v>
      </c>
      <c r="O129" s="1044">
        <f>'9.Ventilazione'!M112</f>
        <v>14.607993599999999</v>
      </c>
      <c r="P129" s="1044">
        <f>'7.Apporti gratuiti'!O122</f>
        <v>24.517938121468795</v>
      </c>
      <c r="Q129" s="320">
        <v>0</v>
      </c>
      <c r="R129" s="512">
        <f t="shared" si="13"/>
        <v>-3.0682043526182206</v>
      </c>
      <c r="S129" s="479"/>
      <c r="T129" s="145"/>
      <c r="U129" s="145"/>
      <c r="V129" s="145"/>
      <c r="W129" s="145"/>
    </row>
    <row r="130" spans="1:23" ht="15" customHeight="1">
      <c r="A130" s="1370"/>
      <c r="B130" s="1799" t="s">
        <v>810</v>
      </c>
      <c r="C130" s="1275" t="s">
        <v>9</v>
      </c>
      <c r="D130" s="641">
        <f>'8.Trasmissione'!F257</f>
        <v>121.161051</v>
      </c>
      <c r="E130" s="641">
        <f>'9.Ventilazione'!I113</f>
        <v>28.877303519999998</v>
      </c>
      <c r="F130" s="641">
        <f>'7.Apporti gratuiti'!M123</f>
        <v>35.975826035660162</v>
      </c>
      <c r="G130" s="641">
        <f>SUM('7.Apporti gratuiti'!E640:E643)</f>
        <v>13.920260430529302</v>
      </c>
      <c r="H130" s="1129">
        <f t="shared" si="11"/>
        <v>101.56772121158596</v>
      </c>
      <c r="I130" s="1125">
        <f>'8.Trasmissione'!I257</f>
        <v>107.50172399999998</v>
      </c>
      <c r="J130" s="1044">
        <f>'9.Ventilazione'!K113</f>
        <v>25.62176448</v>
      </c>
      <c r="K130" s="1044">
        <f>'7.Apporti gratuiti'!N123</f>
        <v>33.654805001101437</v>
      </c>
      <c r="L130" s="320">
        <f>SUM('7.Apporti gratuiti'!F640:F643)</f>
        <v>15.290575472392717</v>
      </c>
      <c r="M130" s="1126">
        <f t="shared" si="12"/>
        <v>85.929798129079785</v>
      </c>
      <c r="N130" s="530">
        <f>'8.Trasmissione'!L257</f>
        <v>89.933976000000001</v>
      </c>
      <c r="O130" s="1044">
        <f>'9.Ventilazione'!M113</f>
        <v>21.434699519999999</v>
      </c>
      <c r="P130" s="1044">
        <f>'7.Apporti gratuiti'!O123</f>
        <v>35.975826035660162</v>
      </c>
      <c r="Q130" s="320">
        <f>SUM('7.Apporti gratuiti'!G640:G643)</f>
        <v>18.331828716222866</v>
      </c>
      <c r="R130" s="512">
        <f t="shared" si="13"/>
        <v>60.077284493734325</v>
      </c>
      <c r="S130" s="479"/>
      <c r="T130" s="145"/>
      <c r="U130" s="145"/>
      <c r="V130" s="145"/>
      <c r="W130" s="145"/>
    </row>
    <row r="131" spans="1:23" ht="15" customHeight="1">
      <c r="A131" s="1370"/>
      <c r="B131" s="1800"/>
      <c r="C131" s="1276" t="s">
        <v>804</v>
      </c>
      <c r="D131" s="641">
        <f>'8.Trasmissione'!F258</f>
        <v>443.04392264000001</v>
      </c>
      <c r="E131" s="641">
        <f>'9.Ventilazione'!I114</f>
        <v>73.187012159999981</v>
      </c>
      <c r="F131" s="641">
        <f>'7.Apporti gratuiti'!M124</f>
        <v>91.177599588353274</v>
      </c>
      <c r="G131" s="641">
        <f>SUM('7.Apporti gratuiti'!E644:E650)</f>
        <v>37.866857300270652</v>
      </c>
      <c r="H131" s="1129">
        <f t="shared" si="11"/>
        <v>390.87307623186666</v>
      </c>
      <c r="I131" s="1125">
        <f>'8.Trasmissione'!I258</f>
        <v>393.09650336000004</v>
      </c>
      <c r="J131" s="1044">
        <f>'9.Ventilazione'!K114</f>
        <v>64.936131840000002</v>
      </c>
      <c r="K131" s="1044">
        <f>'7.Apporti gratuiti'!N124</f>
        <v>85.295173808459509</v>
      </c>
      <c r="L131" s="320">
        <f>SUM('7.Apporti gratuiti'!F644:F650)</f>
        <v>39.854970384721746</v>
      </c>
      <c r="M131" s="1126">
        <f t="shared" si="12"/>
        <v>337.36144835276525</v>
      </c>
      <c r="N131" s="530">
        <f>'8.Trasmissione'!L258</f>
        <v>328.85734464000001</v>
      </c>
      <c r="O131" s="1044">
        <f>'9.Ventilazione'!M114</f>
        <v>54.32438015999999</v>
      </c>
      <c r="P131" s="1044">
        <f>'7.Apporti gratuiti'!O124</f>
        <v>91.177599588353274</v>
      </c>
      <c r="Q131" s="320">
        <f>SUM('7.Apporti gratuiti'!G644:G650)</f>
        <v>44.342343032616114</v>
      </c>
      <c r="R131" s="512">
        <f t="shared" si="13"/>
        <v>255.18860116786203</v>
      </c>
      <c r="S131" s="479"/>
      <c r="T131" s="145"/>
      <c r="U131" s="145"/>
      <c r="V131" s="145"/>
      <c r="W131" s="145"/>
    </row>
    <row r="132" spans="1:23" ht="15" customHeight="1">
      <c r="A132" s="1370"/>
      <c r="B132" s="1800"/>
      <c r="C132" s="1276" t="s">
        <v>22</v>
      </c>
      <c r="D132" s="641">
        <f>'8.Trasmissione'!F259</f>
        <v>4.0486247999999998</v>
      </c>
      <c r="E132" s="641">
        <f>'9.Ventilazione'!I115</f>
        <v>11.6471790864</v>
      </c>
      <c r="F132" s="641">
        <f>'7.Apporti gratuiti'!M125</f>
        <v>11.491873174953792</v>
      </c>
      <c r="G132" s="641">
        <f>SUM('7.Apporti gratuiti'!E669:E671)</f>
        <v>8.4534116554806751</v>
      </c>
      <c r="H132" s="1129">
        <f t="shared" si="11"/>
        <v>-3.6796753488894645</v>
      </c>
      <c r="I132" s="1125">
        <f>'8.Trasmissione'!I259</f>
        <v>3.5921951999999999</v>
      </c>
      <c r="J132" s="1044">
        <f>'9.Ventilazione'!K115</f>
        <v>10.334111673600001</v>
      </c>
      <c r="K132" s="1044">
        <f>'7.Apporti gratuiti'!N125</f>
        <v>10.750462002376127</v>
      </c>
      <c r="L132" s="320">
        <f>SUM('7.Apporti gratuiti'!F669:F671)</f>
        <v>10.717718348912999</v>
      </c>
      <c r="M132" s="1126">
        <f t="shared" si="12"/>
        <v>-6.7735558324446679</v>
      </c>
      <c r="N132" s="530">
        <f>'8.Trasmissione'!L259</f>
        <v>3.0051648000000002</v>
      </c>
      <c r="O132" s="1044">
        <f>'9.Ventilazione'!M115</f>
        <v>8.6453288063999985</v>
      </c>
      <c r="P132" s="1044">
        <f>'7.Apporti gratuiti'!O125</f>
        <v>11.491873174953792</v>
      </c>
      <c r="Q132" s="320">
        <f>SUM('7.Apporti gratuiti'!G669:G671)</f>
        <v>15.095377956215492</v>
      </c>
      <c r="R132" s="512">
        <f t="shared" si="13"/>
        <v>-13.460093479576937</v>
      </c>
      <c r="S132" s="479"/>
      <c r="T132" s="145"/>
      <c r="U132" s="145"/>
      <c r="V132" s="145"/>
      <c r="W132" s="145"/>
    </row>
    <row r="133" spans="1:23" ht="15" customHeight="1">
      <c r="A133" s="1370"/>
      <c r="B133" s="1800"/>
      <c r="C133" s="1276" t="s">
        <v>803</v>
      </c>
      <c r="D133" s="641">
        <f>'8.Trasmissione'!F260</f>
        <v>21.275126399999994</v>
      </c>
      <c r="E133" s="641">
        <f>'9.Ventilazione'!I116</f>
        <v>10.75591872</v>
      </c>
      <c r="F133" s="641">
        <f>'7.Apporti gratuiti'!M126</f>
        <v>5.7774943296134387</v>
      </c>
      <c r="G133" s="641">
        <f>SUM('7.Apporti gratuiti'!E660:E662)</f>
        <v>23.86219661542971</v>
      </c>
      <c r="H133" s="1129">
        <f t="shared" si="11"/>
        <v>3.2381137917001226</v>
      </c>
      <c r="I133" s="1125">
        <f>'8.Trasmissione'!I260</f>
        <v>18.876633599999998</v>
      </c>
      <c r="J133" s="1044">
        <f>'9.Ventilazione'!K116</f>
        <v>9.5433292799999982</v>
      </c>
      <c r="K133" s="1044">
        <f>'7.Apporti gratuiti'!N126</f>
        <v>5.4047527599609593</v>
      </c>
      <c r="L133" s="320">
        <f>SUM('7.Apporti gratuiti'!F660:F662)</f>
        <v>24.484688701049613</v>
      </c>
      <c r="M133" s="1126">
        <f t="shared" si="12"/>
        <v>-0.39977519184481736</v>
      </c>
      <c r="N133" s="530">
        <f>'8.Trasmissione'!L260</f>
        <v>15.791846399999995</v>
      </c>
      <c r="O133" s="1044">
        <f>'9.Ventilazione'!M116</f>
        <v>7.9837747199999995</v>
      </c>
      <c r="P133" s="1044">
        <f>'7.Apporti gratuiti'!O126</f>
        <v>5.7774943296134387</v>
      </c>
      <c r="Q133" s="320">
        <f>SUM('7.Apporti gratuiti'!G660:G662)</f>
        <v>25.937170234162728</v>
      </c>
      <c r="R133" s="512">
        <f t="shared" si="13"/>
        <v>-6.1776012910836258</v>
      </c>
      <c r="S133" s="479"/>
      <c r="T133" s="145"/>
      <c r="U133" s="145"/>
      <c r="V133" s="145"/>
      <c r="W133" s="145"/>
    </row>
    <row r="134" spans="1:23" ht="15" customHeight="1">
      <c r="A134" s="1370"/>
      <c r="B134" s="1800"/>
      <c r="C134" s="1276" t="s">
        <v>802</v>
      </c>
      <c r="D134" s="641">
        <f>'8.Trasmissione'!F261</f>
        <v>72.296619413333332</v>
      </c>
      <c r="E134" s="641">
        <f>'9.Ventilazione'!I117</f>
        <v>4.6375156799999999</v>
      </c>
      <c r="F134" s="641">
        <f>'7.Apporti gratuiti'!M127</f>
        <v>37.808602598205603</v>
      </c>
      <c r="G134" s="641">
        <v>0</v>
      </c>
      <c r="H134" s="1129">
        <f t="shared" si="11"/>
        <v>40.205665142428821</v>
      </c>
      <c r="I134" s="1125">
        <f>'8.Trasmissione'!I261</f>
        <v>64.146119253333325</v>
      </c>
      <c r="J134" s="1044">
        <f>'9.Ventilazione'!K117</f>
        <v>4.1146963200000002</v>
      </c>
      <c r="K134" s="1044">
        <f>'7.Apporti gratuiti'!N127</f>
        <v>35.369337914450398</v>
      </c>
      <c r="L134" s="320">
        <v>0</v>
      </c>
      <c r="M134" s="1126">
        <f t="shared" si="12"/>
        <v>34.157299259764642</v>
      </c>
      <c r="N134" s="530">
        <f>'8.Trasmissione'!L261</f>
        <v>53.663470079999989</v>
      </c>
      <c r="O134" s="1044">
        <f>'9.Ventilazione'!M117</f>
        <v>3.4422796799999991</v>
      </c>
      <c r="P134" s="1044">
        <f>'7.Apporti gratuiti'!O127</f>
        <v>37.808602598205603</v>
      </c>
      <c r="Q134" s="320">
        <v>0</v>
      </c>
      <c r="R134" s="512">
        <f t="shared" si="13"/>
        <v>21.397048493462471</v>
      </c>
      <c r="S134" s="479"/>
      <c r="T134" s="145"/>
      <c r="U134" s="145"/>
      <c r="V134" s="145"/>
      <c r="W134" s="145"/>
    </row>
    <row r="135" spans="1:23" ht="15" customHeight="1">
      <c r="A135" s="1370"/>
      <c r="B135" s="1800"/>
      <c r="C135" s="1276" t="s">
        <v>587</v>
      </c>
      <c r="D135" s="641">
        <f>'8.Trasmissione'!F262</f>
        <v>44.253938813333328</v>
      </c>
      <c r="E135" s="641">
        <f>'9.Ventilazione'!I118</f>
        <v>39.263000399999996</v>
      </c>
      <c r="F135" s="641">
        <f>'7.Apporti gratuiti'!M128</f>
        <v>13.399902814901758</v>
      </c>
      <c r="G135" s="641">
        <f>SUM('7.Apporti gratuiti'!E672:E675)</f>
        <v>8.4587451768390345</v>
      </c>
      <c r="H135" s="1129">
        <f t="shared" si="11"/>
        <v>62.28275860994458</v>
      </c>
      <c r="I135" s="1125">
        <f>'8.Trasmissione'!I262</f>
        <v>39.264884853333321</v>
      </c>
      <c r="J135" s="1044">
        <f>'9.Ventilazione'!K118</f>
        <v>34.836609599999996</v>
      </c>
      <c r="K135" s="1044">
        <f>'7.Apporti gratuiti'!N128</f>
        <v>12.535392955875837</v>
      </c>
      <c r="L135" s="320">
        <f>SUM('7.Apporti gratuiti'!F672:F675)</f>
        <v>10.724480492063774</v>
      </c>
      <c r="M135" s="1126">
        <f t="shared" si="12"/>
        <v>51.67406096554766</v>
      </c>
      <c r="N135" s="530">
        <f>'8.Trasmissione'!L262</f>
        <v>32.84828447999999</v>
      </c>
      <c r="O135" s="1044">
        <f>'9.Ventilazione'!M118</f>
        <v>29.143670399999994</v>
      </c>
      <c r="P135" s="1044">
        <f>'7.Apporti gratuiti'!O128</f>
        <v>13.399902814901758</v>
      </c>
      <c r="Q135" s="320">
        <f>SUM('7.Apporti gratuiti'!G672:G675)</f>
        <v>15.104902101498274</v>
      </c>
      <c r="R135" s="512">
        <f t="shared" si="13"/>
        <v>35.070315531473334</v>
      </c>
      <c r="S135" s="479"/>
      <c r="T135" s="145"/>
      <c r="U135" s="145"/>
      <c r="V135" s="145"/>
      <c r="W135" s="145"/>
    </row>
    <row r="136" spans="1:23" ht="15" customHeight="1">
      <c r="A136" s="1370"/>
      <c r="B136" s="1800"/>
      <c r="C136" s="1276" t="s">
        <v>20</v>
      </c>
      <c r="D136" s="641">
        <f>'8.Trasmissione'!F263</f>
        <v>122.10749422666663</v>
      </c>
      <c r="E136" s="641">
        <f>'9.Ventilazione'!I119</f>
        <v>26.578031039999999</v>
      </c>
      <c r="F136" s="641">
        <f>'7.Apporti gratuiti'!M129</f>
        <v>33.111354057112315</v>
      </c>
      <c r="G136" s="641">
        <f>SUM('7.Apporti gratuiti'!E663:E668)</f>
        <v>40.786438227521089</v>
      </c>
      <c r="H136" s="1129">
        <f t="shared" si="11"/>
        <v>76.898877338738302</v>
      </c>
      <c r="I136" s="1125">
        <f>'8.Trasmissione'!I263</f>
        <v>108.34146810666664</v>
      </c>
      <c r="J136" s="1044">
        <f>'9.Ventilazione'!K119</f>
        <v>23.581704960000003</v>
      </c>
      <c r="K136" s="1044">
        <f>'7.Apporti gratuiti'!N129</f>
        <v>30.97513766633088</v>
      </c>
      <c r="L136" s="320">
        <f>SUM('7.Apporti gratuiti'!F663:F668)</f>
        <v>45.93048222657454</v>
      </c>
      <c r="M136" s="1126">
        <f t="shared" si="12"/>
        <v>57.769903108190306</v>
      </c>
      <c r="N136" s="530">
        <f>'8.Trasmissione'!L263</f>
        <v>90.63649055999997</v>
      </c>
      <c r="O136" s="1044">
        <f>'9.Ventilazione'!M119</f>
        <v>19.72802304</v>
      </c>
      <c r="P136" s="1044">
        <f>'7.Apporti gratuiti'!O129</f>
        <v>33.111354057112315</v>
      </c>
      <c r="Q136" s="320">
        <f>SUM('7.Apporti gratuiti'!G663:G668)</f>
        <v>56.125136932618034</v>
      </c>
      <c r="R136" s="512">
        <f t="shared" si="13"/>
        <v>26.084244564677817</v>
      </c>
      <c r="S136" s="479"/>
      <c r="T136" s="145"/>
      <c r="U136" s="145"/>
      <c r="V136" s="145"/>
      <c r="W136" s="145"/>
    </row>
    <row r="137" spans="1:23" ht="15" customHeight="1">
      <c r="A137" s="1370"/>
      <c r="B137" s="1800"/>
      <c r="C137" s="1276" t="s">
        <v>586</v>
      </c>
      <c r="D137" s="641">
        <f>'8.Trasmissione'!F264</f>
        <v>47.032406813333317</v>
      </c>
      <c r="E137" s="641">
        <f>'9.Ventilazione'!I120</f>
        <v>30.348448200000007</v>
      </c>
      <c r="F137" s="641">
        <f>'7.Apporti gratuiti'!M130</f>
        <v>14.510249834382929</v>
      </c>
      <c r="G137" s="641">
        <f>SUM('7.Apporti gratuiti'!E656:E659)</f>
        <v>47.708746420751993</v>
      </c>
      <c r="H137" s="1129">
        <f t="shared" si="11"/>
        <v>16.939358176827135</v>
      </c>
      <c r="I137" s="1125">
        <f>'8.Trasmissione'!I264</f>
        <v>41.730116853333321</v>
      </c>
      <c r="J137" s="1044">
        <f>'9.Ventilazione'!K120</f>
        <v>26.927056800000006</v>
      </c>
      <c r="K137" s="1044">
        <f>'7.Apporti gratuiti'!N130</f>
        <v>13.574104683777577</v>
      </c>
      <c r="L137" s="320">
        <f>SUM('7.Apporti gratuiti'!F656:F659)</f>
        <v>48.953322414336824</v>
      </c>
      <c r="M137" s="1126">
        <f t="shared" si="12"/>
        <v>8.3675200770131539</v>
      </c>
      <c r="N137" s="530">
        <f>'8.Trasmissione'!L264</f>
        <v>34.910652479999989</v>
      </c>
      <c r="O137" s="1044">
        <f>'9.Ventilazione'!M120</f>
        <v>22.526683200000008</v>
      </c>
      <c r="P137" s="1044">
        <f>'7.Apporti gratuiti'!O130</f>
        <v>14.510249834382929</v>
      </c>
      <c r="Q137" s="320">
        <f>SUM('7.Apporti gratuiti'!G656:G659)</f>
        <v>51.857333066034769</v>
      </c>
      <c r="R137" s="512">
        <f t="shared" si="13"/>
        <v>-5.2441714034079112</v>
      </c>
      <c r="S137" s="479"/>
      <c r="T137" s="145"/>
      <c r="U137" s="145"/>
      <c r="V137" s="145"/>
      <c r="W137" s="145"/>
    </row>
    <row r="138" spans="1:23" ht="15" customHeight="1">
      <c r="A138" s="1370"/>
      <c r="B138" s="1800"/>
      <c r="C138" s="1276" t="s">
        <v>19</v>
      </c>
      <c r="D138" s="641">
        <f>'8.Trasmissione'!F265</f>
        <v>92.941077679999992</v>
      </c>
      <c r="E138" s="641">
        <f>'9.Ventilazione'!I121</f>
        <v>9.2243694239999989</v>
      </c>
      <c r="F138" s="641">
        <f>'7.Apporti gratuiti'!M131</f>
        <v>48.914500311643195</v>
      </c>
      <c r="G138" s="641">
        <v>0</v>
      </c>
      <c r="H138" s="1129">
        <f t="shared" si="11"/>
        <v>54.648357568800904</v>
      </c>
      <c r="I138" s="1125">
        <f>'8.Trasmissione'!I265</f>
        <v>82.463184319999996</v>
      </c>
      <c r="J138" s="1044">
        <f>'9.Ventilazione'!K121</f>
        <v>8.1844421759999992</v>
      </c>
      <c r="K138" s="1044">
        <f>'7.Apporti gratuiti'!N131</f>
        <v>45.758726097988792</v>
      </c>
      <c r="L138" s="320">
        <v>0</v>
      </c>
      <c r="M138" s="1126">
        <f t="shared" si="12"/>
        <v>46.526544395299588</v>
      </c>
      <c r="N138" s="530">
        <f>'8.Trasmissione'!L265</f>
        <v>68.987191679999995</v>
      </c>
      <c r="O138" s="1044">
        <f>'9.Ventilazione'!M121</f>
        <v>6.8469546239999985</v>
      </c>
      <c r="P138" s="1044">
        <f>'7.Apporti gratuiti'!O131</f>
        <v>48.914500311643195</v>
      </c>
      <c r="Q138" s="320">
        <v>0</v>
      </c>
      <c r="R138" s="512">
        <f t="shared" si="13"/>
        <v>29.636372273776509</v>
      </c>
      <c r="S138" s="479"/>
      <c r="T138" s="145"/>
      <c r="U138" s="145"/>
      <c r="V138" s="145"/>
      <c r="W138" s="145"/>
    </row>
    <row r="139" spans="1:23" ht="15" customHeight="1">
      <c r="A139" s="1371"/>
      <c r="B139" s="1801"/>
      <c r="C139" s="1276" t="s">
        <v>588</v>
      </c>
      <c r="D139" s="641">
        <f>'8.Trasmissione'!F266</f>
        <v>7.3827863999999996</v>
      </c>
      <c r="E139" s="641">
        <f>'9.Ventilazione'!I122</f>
        <v>19.680213599999998</v>
      </c>
      <c r="F139" s="641">
        <f>'7.Apporti gratuiti'!M132</f>
        <v>24.517938121468795</v>
      </c>
      <c r="G139" s="641">
        <v>0</v>
      </c>
      <c r="H139" s="1129">
        <f t="shared" si="11"/>
        <v>3.2455010270217954</v>
      </c>
      <c r="I139" s="1125">
        <f>'8.Trasmissione'!I266</f>
        <v>6.5504736000000001</v>
      </c>
      <c r="J139" s="1044">
        <f>'9.Ventilazione'!K122</f>
        <v>17.4615264</v>
      </c>
      <c r="K139" s="1044">
        <f>'7.Apporti gratuiti'!N132</f>
        <v>22.936135662019197</v>
      </c>
      <c r="L139" s="320">
        <v>0</v>
      </c>
      <c r="M139" s="1126">
        <f t="shared" si="12"/>
        <v>1.8967181529987975</v>
      </c>
      <c r="N139" s="530">
        <f>'8.Trasmissione'!L266</f>
        <v>5.4800064000000006</v>
      </c>
      <c r="O139" s="1044">
        <f>'9.Ventilazione'!M122</f>
        <v>14.607993599999999</v>
      </c>
      <c r="P139" s="1044">
        <f>'7.Apporti gratuiti'!O132</f>
        <v>24.517938121468795</v>
      </c>
      <c r="Q139" s="320">
        <v>0</v>
      </c>
      <c r="R139" s="512">
        <f t="shared" si="13"/>
        <v>-3.0682043526182206</v>
      </c>
      <c r="S139" s="479"/>
      <c r="T139" s="145"/>
      <c r="U139" s="145"/>
      <c r="V139" s="145"/>
      <c r="W139" s="145"/>
    </row>
    <row r="140" spans="1:23" ht="15" customHeight="1">
      <c r="A140" s="1377" t="s">
        <v>857</v>
      </c>
      <c r="B140" s="1802" t="s">
        <v>809</v>
      </c>
      <c r="C140" s="1275" t="s">
        <v>9</v>
      </c>
      <c r="D140" s="641">
        <f>'8.Trasmissione'!F267</f>
        <v>148.54880700000001</v>
      </c>
      <c r="E140" s="641">
        <f>'9.Ventilazione'!I123</f>
        <v>28.877303519999998</v>
      </c>
      <c r="F140" s="641">
        <f>'7.Apporti gratuiti'!M133</f>
        <v>35.975826035660162</v>
      </c>
      <c r="G140" s="641">
        <f>SUM('7.Apporti gratuiti'!E676:E679)</f>
        <v>1.4227636498406733</v>
      </c>
      <c r="H140" s="1129">
        <f t="shared" si="11"/>
        <v>141.09594005410409</v>
      </c>
      <c r="I140" s="1125">
        <f>'8.Trasmissione'!I267</f>
        <v>131.80186799999998</v>
      </c>
      <c r="J140" s="1044">
        <f>'9.Ventilazione'!K123</f>
        <v>25.62176448</v>
      </c>
      <c r="K140" s="1044">
        <f>'7.Apporti gratuiti'!N133</f>
        <v>33.654805001101437</v>
      </c>
      <c r="L140" s="320">
        <f>SUM('7.Apporti gratuiti'!F676:F679)</f>
        <v>2.0462229181204865</v>
      </c>
      <c r="M140" s="1126">
        <f t="shared" si="12"/>
        <v>123.00029690614053</v>
      </c>
      <c r="N140" s="530">
        <f>'8.Trasmissione'!L267</f>
        <v>110.26303200000001</v>
      </c>
      <c r="O140" s="1044">
        <f>'9.Ventilazione'!M123</f>
        <v>21.434699519999999</v>
      </c>
      <c r="P140" s="1044">
        <f>'7.Apporti gratuiti'!O133</f>
        <v>35.975826035660162</v>
      </c>
      <c r="Q140" s="320">
        <f>SUM('7.Apporti gratuiti'!G676:G679)</f>
        <v>3.2922434638391653</v>
      </c>
      <c r="R140" s="512">
        <f t="shared" si="13"/>
        <v>94.610622589457222</v>
      </c>
      <c r="S140" s="479"/>
      <c r="T140" s="145"/>
      <c r="U140" s="145"/>
      <c r="V140" s="145"/>
      <c r="W140" s="145"/>
    </row>
    <row r="141" spans="1:23" ht="15" customHeight="1">
      <c r="A141" s="1377"/>
      <c r="B141" s="1802"/>
      <c r="C141" s="1276" t="s">
        <v>804</v>
      </c>
      <c r="D141" s="641">
        <f>'8.Trasmissione'!F268</f>
        <v>512.42623784</v>
      </c>
      <c r="E141" s="641">
        <f>'9.Ventilazione'!I124</f>
        <v>73.187012159999981</v>
      </c>
      <c r="F141" s="641">
        <f>'7.Apporti gratuiti'!M134</f>
        <v>91.177599588353274</v>
      </c>
      <c r="G141" s="641">
        <f>SUM('7.Apporti gratuiti'!E680:E686)</f>
        <v>5.2018688328145375</v>
      </c>
      <c r="H141" s="1129">
        <f t="shared" si="11"/>
        <v>491.98719226363141</v>
      </c>
      <c r="I141" s="1125">
        <f>'8.Trasmissione'!I268</f>
        <v>454.65686816000004</v>
      </c>
      <c r="J141" s="1044">
        <f>'9.Ventilazione'!K124</f>
        <v>64.936131840000002</v>
      </c>
      <c r="K141" s="1044">
        <f>'7.Apporti gratuiti'!N134</f>
        <v>85.295173808459509</v>
      </c>
      <c r="L141" s="320">
        <f>SUM('7.Apporti gratuiti'!F680:F686)</f>
        <v>7.4446712181192112</v>
      </c>
      <c r="M141" s="1126">
        <f t="shared" si="12"/>
        <v>430.17219078294113</v>
      </c>
      <c r="N141" s="530">
        <f>'8.Trasmissione'!L268</f>
        <v>380.35761984000004</v>
      </c>
      <c r="O141" s="1044">
        <f>'9.Ventilazione'!M124</f>
        <v>54.32438015999999</v>
      </c>
      <c r="P141" s="1044">
        <f>'7.Apporti gratuiti'!O134</f>
        <v>91.177599588353274</v>
      </c>
      <c r="Q141" s="320">
        <f>SUM('7.Apporti gratuiti'!G680:G686)</f>
        <v>11.774712522849537</v>
      </c>
      <c r="R141" s="512">
        <f t="shared" si="13"/>
        <v>337.44769073587634</v>
      </c>
      <c r="S141" s="479"/>
      <c r="T141" s="145"/>
      <c r="U141" s="145"/>
      <c r="V141" s="145"/>
      <c r="W141" s="145"/>
    </row>
    <row r="142" spans="1:23" ht="15" customHeight="1">
      <c r="A142" s="1377"/>
      <c r="B142" s="1802"/>
      <c r="C142" s="1276" t="s">
        <v>22</v>
      </c>
      <c r="D142" s="641">
        <f>'8.Trasmissione'!F269</f>
        <v>12.7809528</v>
      </c>
      <c r="E142" s="641">
        <f>'9.Ventilazione'!I125</f>
        <v>11.6471790864</v>
      </c>
      <c r="F142" s="641">
        <f>'7.Apporti gratuiti'!M135</f>
        <v>11.491873174953792</v>
      </c>
      <c r="G142" s="641">
        <f>SUM('7.Apporti gratuiti'!E705:E707)</f>
        <v>1.7255483221473424</v>
      </c>
      <c r="H142" s="1129">
        <f t="shared" si="11"/>
        <v>11.588311450725971</v>
      </c>
      <c r="I142" s="1125">
        <f>'8.Trasmissione'!I269</f>
        <v>11.3400672</v>
      </c>
      <c r="J142" s="1044">
        <f>'9.Ventilazione'!K125</f>
        <v>10.334111673600001</v>
      </c>
      <c r="K142" s="1044">
        <f>'7.Apporti gratuiti'!N135</f>
        <v>10.750462002376127</v>
      </c>
      <c r="L142" s="320">
        <f>SUM('7.Apporti gratuiti'!F705:F707)</f>
        <v>2.1877487655796668</v>
      </c>
      <c r="M142" s="1126">
        <f t="shared" si="12"/>
        <v>9.1990094751618319</v>
      </c>
      <c r="N142" s="530">
        <f>'8.Trasmissione'!L269</f>
        <v>9.4868927999999997</v>
      </c>
      <c r="O142" s="1044">
        <f>'9.Ventilazione'!M125</f>
        <v>8.6453288063999985</v>
      </c>
      <c r="P142" s="1044">
        <f>'7.Apporti gratuiti'!O135</f>
        <v>11.491873174953792</v>
      </c>
      <c r="Q142" s="320">
        <f>SUM('7.Apporti gratuiti'!G705:G707)</f>
        <v>3.0813362895488261</v>
      </c>
      <c r="R142" s="512">
        <f t="shared" si="13"/>
        <v>4.3684126449098706</v>
      </c>
      <c r="S142" s="479"/>
      <c r="T142" s="145"/>
      <c r="U142" s="145"/>
      <c r="V142" s="145"/>
      <c r="W142" s="145"/>
    </row>
    <row r="143" spans="1:23" ht="15" customHeight="1">
      <c r="A143" s="1377"/>
      <c r="B143" s="1802"/>
      <c r="C143" s="1276" t="s">
        <v>803</v>
      </c>
      <c r="D143" s="641">
        <f>'8.Trasmissione'!F270</f>
        <v>25.641290399999995</v>
      </c>
      <c r="E143" s="641">
        <f>'9.Ventilazione'!I126</f>
        <v>10.75591872</v>
      </c>
      <c r="F143" s="641">
        <f>'7.Apporti gratuiti'!M136</f>
        <v>5.7774943296134387</v>
      </c>
      <c r="G143" s="641">
        <f>SUM('7.Apporti gratuiti'!E696:E698)</f>
        <v>0.70332484391927508</v>
      </c>
      <c r="H143" s="1129">
        <f t="shared" si="11"/>
        <v>30.101536814892402</v>
      </c>
      <c r="I143" s="1125">
        <f>'8.Trasmissione'!I270</f>
        <v>22.750569599999999</v>
      </c>
      <c r="J143" s="1044">
        <f>'9.Ventilazione'!K126</f>
        <v>9.5433292799999982</v>
      </c>
      <c r="K143" s="1044">
        <f>'7.Apporti gratuiti'!N136</f>
        <v>5.4047527599609593</v>
      </c>
      <c r="L143" s="320">
        <f>SUM('7.Apporti gratuiti'!F696:F698)</f>
        <v>0.94795957223902283</v>
      </c>
      <c r="M143" s="1126">
        <f t="shared" si="12"/>
        <v>26.168541679912938</v>
      </c>
      <c r="N143" s="530">
        <f>'8.Trasmissione'!L270</f>
        <v>19.032710399999996</v>
      </c>
      <c r="O143" s="1044">
        <f>'9.Ventilazione'!M126</f>
        <v>7.9837747199999995</v>
      </c>
      <c r="P143" s="1044">
        <f>'7.Apporti gratuiti'!O136</f>
        <v>5.7774943296134387</v>
      </c>
      <c r="Q143" s="320">
        <f>SUM('7.Apporti gratuiti'!G696:G698)</f>
        <v>1.2843323236786763</v>
      </c>
      <c r="R143" s="512">
        <f t="shared" si="13"/>
        <v>20.34687447508162</v>
      </c>
      <c r="S143" s="479"/>
      <c r="T143" s="145"/>
      <c r="U143" s="145"/>
      <c r="V143" s="145"/>
      <c r="W143" s="145"/>
    </row>
    <row r="144" spans="1:23" ht="15" customHeight="1">
      <c r="A144" s="1377"/>
      <c r="B144" s="1802"/>
      <c r="C144" s="1276" t="s">
        <v>802</v>
      </c>
      <c r="D144" s="641">
        <f>'8.Trasmissione'!F271</f>
        <v>101.03391701333332</v>
      </c>
      <c r="E144" s="641">
        <f>'9.Ventilazione'!I127</f>
        <v>4.6375156799999999</v>
      </c>
      <c r="F144" s="641">
        <f>'7.Apporti gratuiti'!M137</f>
        <v>37.808602598205603</v>
      </c>
      <c r="G144" s="641">
        <v>0</v>
      </c>
      <c r="H144" s="1129">
        <f t="shared" si="11"/>
        <v>68.94296274242879</v>
      </c>
      <c r="I144" s="1125">
        <f>'8.Trasmissione'!I271</f>
        <v>89.643661653333311</v>
      </c>
      <c r="J144" s="1044">
        <f>'9.Ventilazione'!K127</f>
        <v>4.1146963200000002</v>
      </c>
      <c r="K144" s="1044">
        <f>'7.Apporti gratuiti'!N137</f>
        <v>35.369337914450398</v>
      </c>
      <c r="L144" s="320">
        <v>0</v>
      </c>
      <c r="M144" s="1126">
        <f t="shared" si="12"/>
        <v>59.654841659764628</v>
      </c>
      <c r="N144" s="530">
        <f>'8.Trasmissione'!L271</f>
        <v>74.994247679999987</v>
      </c>
      <c r="O144" s="1044">
        <f>'9.Ventilazione'!M127</f>
        <v>3.4422796799999991</v>
      </c>
      <c r="P144" s="1044">
        <f>'7.Apporti gratuiti'!O137</f>
        <v>37.808602598205603</v>
      </c>
      <c r="Q144" s="320">
        <v>0</v>
      </c>
      <c r="R144" s="512">
        <f t="shared" si="13"/>
        <v>42.727826093462468</v>
      </c>
      <c r="S144" s="479"/>
      <c r="T144" s="145"/>
      <c r="U144" s="145"/>
      <c r="V144" s="145"/>
      <c r="W144" s="145"/>
    </row>
    <row r="145" spans="1:23">
      <c r="A145" s="1377"/>
      <c r="B145" s="1802"/>
      <c r="C145" s="1276" t="s">
        <v>587</v>
      </c>
      <c r="D145" s="641">
        <f>'8.Trasmissione'!F272</f>
        <v>54.415193213333325</v>
      </c>
      <c r="E145" s="641">
        <f>'9.Ventilazione'!I128</f>
        <v>39.263000399999996</v>
      </c>
      <c r="F145" s="641">
        <f>'7.Apporti gratuiti'!M138</f>
        <v>13.399902814901758</v>
      </c>
      <c r="G145" s="641">
        <f>SUM('7.Apporti gratuiti'!E708:E711)</f>
        <v>1.7308818435057003</v>
      </c>
      <c r="H145" s="1129">
        <f t="shared" si="11"/>
        <v>78.979671809560003</v>
      </c>
      <c r="I145" s="1125">
        <f>'8.Trasmissione'!I272</f>
        <v>48.280590453333325</v>
      </c>
      <c r="J145" s="1044">
        <f>'9.Ventilazione'!K128</f>
        <v>34.836609599999996</v>
      </c>
      <c r="K145" s="1044">
        <f>'7.Apporti gratuiti'!N138</f>
        <v>12.535392955875837</v>
      </c>
      <c r="L145" s="320">
        <f>SUM('7.Apporti gratuiti'!F708:F711)</f>
        <v>2.1945109087304417</v>
      </c>
      <c r="M145" s="1126">
        <f t="shared" si="12"/>
        <v>68.914459873154158</v>
      </c>
      <c r="N145" s="530">
        <f>'8.Trasmissione'!L272</f>
        <v>40.390658879999997</v>
      </c>
      <c r="O145" s="1044">
        <f>'9.Ventilazione'!M128</f>
        <v>29.143670399999994</v>
      </c>
      <c r="P145" s="1044">
        <f>'7.Apporti gratuiti'!O138</f>
        <v>13.399902814901758</v>
      </c>
      <c r="Q145" s="320">
        <f>SUM('7.Apporti gratuiti'!G708:G711)</f>
        <v>3.0908604348316078</v>
      </c>
      <c r="R145" s="512">
        <f t="shared" si="13"/>
        <v>53.959468055960158</v>
      </c>
      <c r="S145" s="479"/>
      <c r="T145" s="145"/>
      <c r="U145" s="145"/>
      <c r="V145" s="145"/>
      <c r="W145" s="145"/>
    </row>
    <row r="146" spans="1:23">
      <c r="A146" s="1377"/>
      <c r="B146" s="1802"/>
      <c r="C146" s="1276" t="s">
        <v>20</v>
      </c>
      <c r="D146" s="641">
        <f>'8.Trasmissione'!F273</f>
        <v>147.27247582666666</v>
      </c>
      <c r="E146" s="641">
        <f>'9.Ventilazione'!I129</f>
        <v>26.578031039999999</v>
      </c>
      <c r="F146" s="641">
        <f>'7.Apporti gratuiti'!M139</f>
        <v>33.111354057112315</v>
      </c>
      <c r="G146" s="641">
        <f>SUM('7.Apporti gratuiti'!E699:E704)</f>
        <v>4.1330357002775653</v>
      </c>
      <c r="H146" s="1129">
        <f t="shared" si="11"/>
        <v>137.67013107808904</v>
      </c>
      <c r="I146" s="1125">
        <f>'8.Trasmissione'!I273</f>
        <v>130.66942650666667</v>
      </c>
      <c r="J146" s="1044">
        <f>'9.Ventilazione'!K129</f>
        <v>23.581704960000003</v>
      </c>
      <c r="K146" s="1044">
        <f>'7.Apporti gratuiti'!N139</f>
        <v>30.97513766633088</v>
      </c>
      <c r="L146" s="320">
        <f>SUM('7.Apporti gratuiti'!F699:F704)</f>
        <v>5.2971187599149143</v>
      </c>
      <c r="M146" s="1126">
        <f t="shared" si="12"/>
        <v>119.27701089493183</v>
      </c>
      <c r="N146" s="530">
        <f>'8.Trasmissione'!L273</f>
        <v>109.31565215999998</v>
      </c>
      <c r="O146" s="1044">
        <f>'9.Ventilazione'!M129</f>
        <v>19.72802304</v>
      </c>
      <c r="P146" s="1044">
        <f>'7.Apporti gratuiti'!O139</f>
        <v>33.111354057112315</v>
      </c>
      <c r="Q146" s="320">
        <f>SUM('7.Apporti gratuiti'!G699:G704)</f>
        <v>7.4092076519255166</v>
      </c>
      <c r="R146" s="512">
        <f t="shared" si="13"/>
        <v>90.773637859635485</v>
      </c>
      <c r="S146" s="479"/>
      <c r="T146" s="145"/>
      <c r="U146" s="145"/>
      <c r="V146" s="145"/>
      <c r="W146" s="145"/>
    </row>
    <row r="147" spans="1:23">
      <c r="A147" s="1377"/>
      <c r="B147" s="1802"/>
      <c r="C147" s="1276" t="s">
        <v>586</v>
      </c>
      <c r="D147" s="641">
        <f>'8.Trasmissione'!F274</f>
        <v>58.066894013333311</v>
      </c>
      <c r="E147" s="641">
        <f>'9.Ventilazione'!I130</f>
        <v>30.348448200000007</v>
      </c>
      <c r="F147" s="641">
        <f>'7.Apporti gratuiti'!M140</f>
        <v>14.510249834382929</v>
      </c>
      <c r="G147" s="641">
        <f>SUM('7.Apporti gratuiti'!E692:E695)</f>
        <v>1.4035203258170648</v>
      </c>
      <c r="H147" s="1129">
        <f>(D147+E147)-($K$24*(F147+G147))</f>
        <v>72.9562035790415</v>
      </c>
      <c r="I147" s="1125">
        <f>'8.Trasmissione'!I274</f>
        <v>51.52060965333331</v>
      </c>
      <c r="J147" s="1044">
        <f>'9.Ventilazione'!K130</f>
        <v>26.927056800000006</v>
      </c>
      <c r="K147" s="1044">
        <f>'7.Apporti gratuiti'!N140</f>
        <v>13.574104683777577</v>
      </c>
      <c r="L147" s="320">
        <f>SUM('7.Apporti gratuiti'!F692:F695)</f>
        <v>1.8917013087099566</v>
      </c>
      <c r="M147" s="1126">
        <f t="shared" si="12"/>
        <v>63.535361104473552</v>
      </c>
      <c r="N147" s="530">
        <f>'8.Trasmissione'!L274</f>
        <v>43.101199679999986</v>
      </c>
      <c r="O147" s="1044">
        <f>'9.Ventilazione'!M130</f>
        <v>22.526683200000008</v>
      </c>
      <c r="P147" s="1044">
        <f>'7.Apporti gratuiti'!O140</f>
        <v>14.510249834382929</v>
      </c>
      <c r="Q147" s="320">
        <f>SUM('7.Apporti gratuiti'!G692:G695)</f>
        <v>2.5629501601876838</v>
      </c>
      <c r="R147" s="512">
        <f t="shared" si="13"/>
        <v>49.502933625755226</v>
      </c>
      <c r="S147" s="479"/>
      <c r="T147" s="145"/>
      <c r="U147" s="145"/>
      <c r="V147" s="145"/>
      <c r="W147" s="145"/>
    </row>
    <row r="148" spans="1:23">
      <c r="A148" s="1377"/>
      <c r="B148" s="1802"/>
      <c r="C148" s="1276" t="s">
        <v>19</v>
      </c>
      <c r="D148" s="641">
        <f>'8.Trasmissione'!F275</f>
        <v>130.17254887999999</v>
      </c>
      <c r="E148" s="641">
        <f>'9.Ventilazione'!I131</f>
        <v>9.2243694239999989</v>
      </c>
      <c r="F148" s="641">
        <f>'7.Apporti gratuiti'!M141</f>
        <v>48.914500311643195</v>
      </c>
      <c r="G148" s="641">
        <v>0</v>
      </c>
      <c r="H148" s="1129">
        <f t="shared" si="11"/>
        <v>91.879828768800905</v>
      </c>
      <c r="I148" s="1125">
        <f>'8.Trasmissione'!I275</f>
        <v>115.49729311999998</v>
      </c>
      <c r="J148" s="1044">
        <f>'9.Ventilazione'!K131</f>
        <v>8.1844421759999992</v>
      </c>
      <c r="K148" s="1044">
        <f>'7.Apporti gratuiti'!N141</f>
        <v>45.758726097988792</v>
      </c>
      <c r="L148" s="320">
        <v>0</v>
      </c>
      <c r="M148" s="1126">
        <f t="shared" si="12"/>
        <v>79.560653195299579</v>
      </c>
      <c r="N148" s="530">
        <f>'8.Trasmissione'!L275</f>
        <v>96.622922880000004</v>
      </c>
      <c r="O148" s="1044">
        <f>'9.Ventilazione'!M131</f>
        <v>6.8469546239999985</v>
      </c>
      <c r="P148" s="1044">
        <f>'7.Apporti gratuiti'!O141</f>
        <v>48.914500311643195</v>
      </c>
      <c r="Q148" s="320">
        <v>0</v>
      </c>
      <c r="R148" s="512">
        <f t="shared" si="13"/>
        <v>57.272103473776518</v>
      </c>
      <c r="S148" s="479"/>
      <c r="T148" s="145"/>
      <c r="U148" s="145"/>
      <c r="V148" s="145"/>
      <c r="W148" s="145"/>
    </row>
    <row r="149" spans="1:23">
      <c r="A149" s="1377"/>
      <c r="B149" s="1802"/>
      <c r="C149" s="1276" t="s">
        <v>588</v>
      </c>
      <c r="D149" s="641">
        <f>'8.Trasmissione'!F276</f>
        <v>34.53238799999999</v>
      </c>
      <c r="E149" s="641">
        <f>'9.Ventilazione'!I132</f>
        <v>19.680213599999998</v>
      </c>
      <c r="F149" s="641">
        <f>'7.Apporti gratuiti'!M142</f>
        <v>24.517938121468795</v>
      </c>
      <c r="G149" s="641">
        <v>0</v>
      </c>
      <c r="H149" s="1129">
        <f t="shared" si="11"/>
        <v>30.395102627021782</v>
      </c>
      <c r="I149" s="1125">
        <f>'8.Trasmissione'!I276</f>
        <v>30.639311999999993</v>
      </c>
      <c r="J149" s="1044">
        <f>'9.Ventilazione'!K132</f>
        <v>17.4615264</v>
      </c>
      <c r="K149" s="1044">
        <f>'7.Apporti gratuiti'!N142</f>
        <v>22.936135662019197</v>
      </c>
      <c r="L149" s="320">
        <v>0</v>
      </c>
      <c r="M149" s="1126">
        <f t="shared" si="12"/>
        <v>25.985556552998791</v>
      </c>
      <c r="N149" s="530">
        <f>'8.Trasmissione'!L276</f>
        <v>25.632287999999992</v>
      </c>
      <c r="O149" s="1044">
        <f>'9.Ventilazione'!M132</f>
        <v>14.607993599999999</v>
      </c>
      <c r="P149" s="1044">
        <f>'7.Apporti gratuiti'!O142</f>
        <v>24.517938121468795</v>
      </c>
      <c r="Q149" s="320">
        <v>0</v>
      </c>
      <c r="R149" s="512">
        <f t="shared" si="13"/>
        <v>17.084077247381767</v>
      </c>
      <c r="S149" s="479"/>
      <c r="T149" s="145"/>
      <c r="U149" s="145"/>
      <c r="V149" s="145"/>
      <c r="W149" s="145"/>
    </row>
    <row r="150" spans="1:23">
      <c r="A150" s="1377"/>
      <c r="B150" s="1803" t="s">
        <v>810</v>
      </c>
      <c r="C150" s="1275" t="s">
        <v>9</v>
      </c>
      <c r="D150" s="641">
        <f>'8.Trasmissione'!F277</f>
        <v>148.54880700000001</v>
      </c>
      <c r="E150" s="641">
        <f>'9.Ventilazione'!I133</f>
        <v>28.877303519999998</v>
      </c>
      <c r="F150" s="641">
        <f>'7.Apporti gratuiti'!M143</f>
        <v>35.975826035660162</v>
      </c>
      <c r="G150" s="641">
        <f>SUM('7.Apporti gratuiti'!E712:E715)</f>
        <v>2.8673420971959702</v>
      </c>
      <c r="H150" s="1129">
        <f t="shared" si="11"/>
        <v>139.69263095381135</v>
      </c>
      <c r="I150" s="1125">
        <f>'8.Trasmissione'!I277</f>
        <v>131.80186799999998</v>
      </c>
      <c r="J150" s="1044">
        <f>'9.Ventilazione'!K133</f>
        <v>25.62176448</v>
      </c>
      <c r="K150" s="1044">
        <f>'7.Apporti gratuiti'!N143</f>
        <v>33.654805001101437</v>
      </c>
      <c r="L150" s="320">
        <f>SUM('7.Apporti gratuiti'!F712:F715)</f>
        <v>3.1563933890593852</v>
      </c>
      <c r="M150" s="1126">
        <f t="shared" si="12"/>
        <v>121.92985796102704</v>
      </c>
      <c r="N150" s="530">
        <f>'8.Trasmissione'!L277</f>
        <v>110.26303200000001</v>
      </c>
      <c r="O150" s="1044">
        <f>'9.Ventilazione'!M133</f>
        <v>21.434699519999999</v>
      </c>
      <c r="P150" s="1044">
        <f>'7.Apporti gratuiti'!O143</f>
        <v>35.975826035660162</v>
      </c>
      <c r="Q150" s="320">
        <f>SUM('7.Apporti gratuiti'!G712:G715)</f>
        <v>3.7948382995561993</v>
      </c>
      <c r="R150" s="512">
        <f t="shared" si="13"/>
        <v>94.135942024363402</v>
      </c>
      <c r="S150" s="479"/>
      <c r="T150" s="145"/>
      <c r="U150" s="145"/>
      <c r="V150" s="145"/>
      <c r="W150" s="145"/>
    </row>
    <row r="151" spans="1:23">
      <c r="A151" s="1377"/>
      <c r="B151" s="1803"/>
      <c r="C151" s="1276" t="s">
        <v>804</v>
      </c>
      <c r="D151" s="641">
        <f>'8.Trasmissione'!F278</f>
        <v>512.42623784</v>
      </c>
      <c r="E151" s="641">
        <f>'9.Ventilazione'!I134</f>
        <v>73.187012159999981</v>
      </c>
      <c r="F151" s="641">
        <f>'7.Apporti gratuiti'!M144</f>
        <v>91.177599588353274</v>
      </c>
      <c r="G151" s="641">
        <f>SUM('7.Apporti gratuiti'!E716:E722)</f>
        <v>7.7742514669373248</v>
      </c>
      <c r="H151" s="1129">
        <f t="shared" si="11"/>
        <v>489.48829857841247</v>
      </c>
      <c r="I151" s="1125">
        <f>'8.Trasmissione'!I278</f>
        <v>454.65686816000004</v>
      </c>
      <c r="J151" s="1044">
        <f>'9.Ventilazione'!K134</f>
        <v>64.936131840000002</v>
      </c>
      <c r="K151" s="1044">
        <f>'7.Apporti gratuiti'!N144</f>
        <v>85.295173808459509</v>
      </c>
      <c r="L151" s="320">
        <f>SUM('7.Apporti gratuiti'!F716:F722)</f>
        <v>8.1844133013884175</v>
      </c>
      <c r="M151" s="1126">
        <f t="shared" si="12"/>
        <v>429.45892308577288</v>
      </c>
      <c r="N151" s="530">
        <f>'8.Trasmissione'!L278</f>
        <v>380.35761984000004</v>
      </c>
      <c r="O151" s="1044">
        <f>'9.Ventilazione'!M134</f>
        <v>54.32438015999999</v>
      </c>
      <c r="P151" s="1044">
        <f>'7.Apporti gratuiti'!O144</f>
        <v>91.177599588353274</v>
      </c>
      <c r="Q151" s="320">
        <f>SUM('7.Apporti gratuiti'!G716:G722)</f>
        <v>9.1100401159494453</v>
      </c>
      <c r="R151" s="512">
        <f t="shared" si="13"/>
        <v>339.96436642374471</v>
      </c>
      <c r="S151" s="479"/>
      <c r="T151" s="145"/>
      <c r="U151" s="145"/>
      <c r="V151" s="145"/>
      <c r="W151" s="145"/>
    </row>
    <row r="152" spans="1:23" ht="15" customHeight="1">
      <c r="A152" s="1377"/>
      <c r="B152" s="1803"/>
      <c r="C152" s="1276" t="s">
        <v>22</v>
      </c>
      <c r="D152" s="641">
        <f>'8.Trasmissione'!F279</f>
        <v>12.7809528</v>
      </c>
      <c r="E152" s="641">
        <f>'9.Ventilazione'!I135</f>
        <v>11.6471790864</v>
      </c>
      <c r="F152" s="641">
        <f>'7.Apporti gratuiti'!M145</f>
        <v>11.491873174953792</v>
      </c>
      <c r="G152" s="641">
        <f>SUM('7.Apporti gratuiti'!E741:E743)</f>
        <v>1.7255483221473424</v>
      </c>
      <c r="H152" s="1129">
        <f t="shared" si="11"/>
        <v>11.588311450725971</v>
      </c>
      <c r="I152" s="1125">
        <f>'8.Trasmissione'!I279</f>
        <v>11.3400672</v>
      </c>
      <c r="J152" s="1044">
        <f>'9.Ventilazione'!K135</f>
        <v>10.334111673600001</v>
      </c>
      <c r="K152" s="1044">
        <f>'7.Apporti gratuiti'!N145</f>
        <v>10.750462002376127</v>
      </c>
      <c r="L152" s="320">
        <f>SUM('7.Apporti gratuiti'!F741:F743)</f>
        <v>2.1877487655796668</v>
      </c>
      <c r="M152" s="1126">
        <f t="shared" si="12"/>
        <v>9.1990094751618319</v>
      </c>
      <c r="N152" s="530">
        <f>'8.Trasmissione'!L279</f>
        <v>9.4868927999999997</v>
      </c>
      <c r="O152" s="1044">
        <f>'9.Ventilazione'!M135</f>
        <v>8.6453288063999985</v>
      </c>
      <c r="P152" s="1044">
        <f>'7.Apporti gratuiti'!O145</f>
        <v>11.491873174953792</v>
      </c>
      <c r="Q152" s="320">
        <f>SUM('7.Apporti gratuiti'!G741:G743)</f>
        <v>3.0813362895488261</v>
      </c>
      <c r="R152" s="512">
        <f t="shared" si="13"/>
        <v>4.3684126449098706</v>
      </c>
      <c r="S152" s="479"/>
      <c r="T152" s="145"/>
      <c r="U152" s="145"/>
      <c r="V152" s="145"/>
      <c r="W152" s="145"/>
    </row>
    <row r="153" spans="1:23">
      <c r="A153" s="1377"/>
      <c r="B153" s="1803"/>
      <c r="C153" s="1276" t="s">
        <v>803</v>
      </c>
      <c r="D153" s="641">
        <f>'8.Trasmissione'!F280</f>
        <v>25.641290399999995</v>
      </c>
      <c r="E153" s="641">
        <f>'9.Ventilazione'!I136</f>
        <v>10.75591872</v>
      </c>
      <c r="F153" s="641">
        <f>'7.Apporti gratuiti'!M146</f>
        <v>5.7774943296134387</v>
      </c>
      <c r="G153" s="641">
        <f>SUM('7.Apporti gratuiti'!E732:E734)</f>
        <v>4.8225091154297086</v>
      </c>
      <c r="H153" s="1129">
        <f t="shared" si="11"/>
        <v>26.100031196020637</v>
      </c>
      <c r="I153" s="1125">
        <f>'8.Trasmissione'!I280</f>
        <v>22.750569599999999</v>
      </c>
      <c r="J153" s="1044">
        <f>'9.Ventilazione'!K136</f>
        <v>9.5433292799999982</v>
      </c>
      <c r="K153" s="1044">
        <f>'7.Apporti gratuiti'!N146</f>
        <v>5.4047527599609593</v>
      </c>
      <c r="L153" s="320">
        <f>SUM('7.Apporti gratuiti'!F732:F734)</f>
        <v>4.9483137010496145</v>
      </c>
      <c r="M153" s="1126">
        <f t="shared" si="12"/>
        <v>22.311354909215545</v>
      </c>
      <c r="N153" s="530">
        <f>'8.Trasmissione'!L280</f>
        <v>19.032710399999996</v>
      </c>
      <c r="O153" s="1044">
        <f>'9.Ventilazione'!M136</f>
        <v>7.9837747199999995</v>
      </c>
      <c r="P153" s="1044">
        <f>'7.Apporti gratuiti'!O146</f>
        <v>5.7774943296134387</v>
      </c>
      <c r="Q153" s="320">
        <f>SUM('7.Apporti gratuiti'!G732:G734)</f>
        <v>5.2418577341627266</v>
      </c>
      <c r="R153" s="512">
        <f t="shared" si="13"/>
        <v>16.609151234169957</v>
      </c>
      <c r="S153" s="479"/>
      <c r="T153" s="145"/>
      <c r="U153" s="145"/>
      <c r="V153" s="145"/>
      <c r="W153" s="145"/>
    </row>
    <row r="154" spans="1:23">
      <c r="A154" s="1377"/>
      <c r="B154" s="1803"/>
      <c r="C154" s="1276" t="s">
        <v>802</v>
      </c>
      <c r="D154" s="641">
        <f>'8.Trasmissione'!F281</f>
        <v>101.03391701333332</v>
      </c>
      <c r="E154" s="641">
        <f>'9.Ventilazione'!I137</f>
        <v>4.6375156799999999</v>
      </c>
      <c r="F154" s="641">
        <f>'7.Apporti gratuiti'!M147</f>
        <v>37.808602598205603</v>
      </c>
      <c r="G154" s="641">
        <v>0</v>
      </c>
      <c r="H154" s="1129">
        <f t="shared" si="11"/>
        <v>68.94296274242879</v>
      </c>
      <c r="I154" s="1125">
        <f>'8.Trasmissione'!I281</f>
        <v>89.643661653333311</v>
      </c>
      <c r="J154" s="1044">
        <f>'9.Ventilazione'!K137</f>
        <v>4.1146963200000002</v>
      </c>
      <c r="K154" s="1044">
        <f>'7.Apporti gratuiti'!N147</f>
        <v>35.369337914450398</v>
      </c>
      <c r="L154" s="320">
        <v>0</v>
      </c>
      <c r="M154" s="1126">
        <f t="shared" si="12"/>
        <v>59.654841659764628</v>
      </c>
      <c r="N154" s="530">
        <f>'8.Trasmissione'!L281</f>
        <v>74.994247679999987</v>
      </c>
      <c r="O154" s="1044">
        <f>'9.Ventilazione'!M137</f>
        <v>3.4422796799999991</v>
      </c>
      <c r="P154" s="1044">
        <f>'7.Apporti gratuiti'!O147</f>
        <v>37.808602598205603</v>
      </c>
      <c r="Q154" s="320">
        <v>0</v>
      </c>
      <c r="R154" s="512">
        <f t="shared" si="13"/>
        <v>42.727826093462468</v>
      </c>
      <c r="S154" s="479"/>
      <c r="T154" s="145"/>
      <c r="U154" s="145"/>
      <c r="V154" s="145"/>
      <c r="W154" s="145"/>
    </row>
    <row r="155" spans="1:23">
      <c r="A155" s="1377"/>
      <c r="B155" s="1803"/>
      <c r="C155" s="1276" t="s">
        <v>587</v>
      </c>
      <c r="D155" s="641">
        <f>'8.Trasmissione'!F282</f>
        <v>54.415193213333325</v>
      </c>
      <c r="E155" s="641">
        <f>'9.Ventilazione'!I138</f>
        <v>39.263000399999996</v>
      </c>
      <c r="F155" s="641">
        <f>'7.Apporti gratuiti'!M148</f>
        <v>13.399902814901758</v>
      </c>
      <c r="G155" s="641">
        <f>SUM('7.Apporti gratuiti'!E744:E747)</f>
        <v>1.7308818435057003</v>
      </c>
      <c r="H155" s="1129">
        <f t="shared" si="11"/>
        <v>78.979671809560003</v>
      </c>
      <c r="I155" s="1125">
        <f>'8.Trasmissione'!I282</f>
        <v>48.280590453333325</v>
      </c>
      <c r="J155" s="1044">
        <f>'9.Ventilazione'!K138</f>
        <v>34.836609599999996</v>
      </c>
      <c r="K155" s="1044">
        <f>'7.Apporti gratuiti'!N148</f>
        <v>12.535392955875837</v>
      </c>
      <c r="L155" s="320">
        <f>SUM('7.Apporti gratuiti'!F744:F747)</f>
        <v>2.1945109087304417</v>
      </c>
      <c r="M155" s="1126">
        <f t="shared" si="12"/>
        <v>68.914459873154158</v>
      </c>
      <c r="N155" s="530">
        <f>'8.Trasmissione'!L282</f>
        <v>40.390658879999997</v>
      </c>
      <c r="O155" s="1044">
        <f>'9.Ventilazione'!M138</f>
        <v>29.143670399999994</v>
      </c>
      <c r="P155" s="1044">
        <f>'7.Apporti gratuiti'!O148</f>
        <v>13.399902814901758</v>
      </c>
      <c r="Q155" s="320">
        <f>SUM('7.Apporti gratuiti'!G744:G747)</f>
        <v>3.0908604348316078</v>
      </c>
      <c r="R155" s="512">
        <f t="shared" si="13"/>
        <v>53.959468055960158</v>
      </c>
      <c r="S155" s="479"/>
      <c r="T155" s="145"/>
      <c r="U155" s="145"/>
      <c r="V155" s="145"/>
      <c r="W155" s="145"/>
    </row>
    <row r="156" spans="1:23">
      <c r="A156" s="1377"/>
      <c r="B156" s="1803"/>
      <c r="C156" s="1276" t="s">
        <v>20</v>
      </c>
      <c r="D156" s="641">
        <f>'8.Trasmissione'!F283</f>
        <v>147.27247582666666</v>
      </c>
      <c r="E156" s="641">
        <f>'9.Ventilazione'!I139</f>
        <v>26.578031039999999</v>
      </c>
      <c r="F156" s="641">
        <f>'7.Apporti gratuiti'!M149</f>
        <v>33.111354057112315</v>
      </c>
      <c r="G156" s="641">
        <f>SUM('7.Apporti gratuiti'!E735:E740)</f>
        <v>8.2910240608544186</v>
      </c>
      <c r="H156" s="1129">
        <f t="shared" si="11"/>
        <v>133.6309299422897</v>
      </c>
      <c r="I156" s="1125">
        <f>'8.Trasmissione'!I283</f>
        <v>130.66942650666667</v>
      </c>
      <c r="J156" s="1044">
        <f>'9.Ventilazione'!K139</f>
        <v>23.581704960000003</v>
      </c>
      <c r="K156" s="1044">
        <f>'7.Apporti gratuiti'!N149</f>
        <v>30.97513766633088</v>
      </c>
      <c r="L156" s="320">
        <f>SUM('7.Apporti gratuiti'!F735:F740)</f>
        <v>9.3341680599078813</v>
      </c>
      <c r="M156" s="1126">
        <f t="shared" si="12"/>
        <v>115.38444222446368</v>
      </c>
      <c r="N156" s="530">
        <f>'8.Trasmissione'!L283</f>
        <v>109.31565215999998</v>
      </c>
      <c r="O156" s="1044">
        <f>'9.Ventilazione'!M139</f>
        <v>19.72802304</v>
      </c>
      <c r="P156" s="1044">
        <f>'7.Apporti gratuiti'!O149</f>
        <v>33.111354057112315</v>
      </c>
      <c r="Q156" s="320">
        <f>SUM('7.Apporti gratuiti'!G735:G740)</f>
        <v>11.401741099284706</v>
      </c>
      <c r="R156" s="512">
        <f t="shared" si="13"/>
        <v>87.002850938905056</v>
      </c>
      <c r="S156" s="479"/>
      <c r="T156" s="145"/>
      <c r="U156" s="145"/>
      <c r="V156" s="145"/>
      <c r="W156" s="145"/>
    </row>
    <row r="157" spans="1:23">
      <c r="A157" s="1377"/>
      <c r="B157" s="1803"/>
      <c r="C157" s="1276" t="s">
        <v>586</v>
      </c>
      <c r="D157" s="641">
        <f>'8.Trasmissione'!F284</f>
        <v>58.066894013333311</v>
      </c>
      <c r="E157" s="641">
        <f>'9.Ventilazione'!I140</f>
        <v>30.348448200000007</v>
      </c>
      <c r="F157" s="641">
        <f>'7.Apporti gratuiti'!M150</f>
        <v>14.510249834382929</v>
      </c>
      <c r="G157" s="641">
        <f>SUM('7.Apporti gratuiti'!E728:E731)</f>
        <v>9.6293714207519905</v>
      </c>
      <c r="H157" s="1129">
        <f t="shared" si="11"/>
        <v>64.965352185468134</v>
      </c>
      <c r="I157" s="1125">
        <f>'8.Trasmissione'!I284</f>
        <v>51.52060965333331</v>
      </c>
      <c r="J157" s="1044">
        <f>'9.Ventilazione'!K140</f>
        <v>26.927056800000006</v>
      </c>
      <c r="K157" s="1044">
        <f>'7.Apporti gratuiti'!N150</f>
        <v>13.574104683777577</v>
      </c>
      <c r="L157" s="320">
        <f>SUM('7.Apporti gratuiti'!F728:F731)</f>
        <v>9.8805724143368252</v>
      </c>
      <c r="M157" s="1126">
        <f t="shared" si="12"/>
        <v>55.832401079133845</v>
      </c>
      <c r="N157" s="530">
        <f>'8.Trasmissione'!L284</f>
        <v>43.101199679999986</v>
      </c>
      <c r="O157" s="1044">
        <f>'9.Ventilazione'!M140</f>
        <v>22.526683200000008</v>
      </c>
      <c r="P157" s="1044">
        <f>'7.Apporti gratuiti'!O150</f>
        <v>14.510249834382929</v>
      </c>
      <c r="Q157" s="320">
        <f>SUM('7.Apporti gratuiti'!G728:G731)</f>
        <v>10.466708066034773</v>
      </c>
      <c r="R157" s="512">
        <f t="shared" si="13"/>
        <v>42.038152847099241</v>
      </c>
      <c r="S157" s="479"/>
      <c r="T157" s="145"/>
      <c r="U157" s="145"/>
      <c r="V157" s="145"/>
      <c r="W157" s="145"/>
    </row>
    <row r="158" spans="1:23">
      <c r="A158" s="1377"/>
      <c r="B158" s="1803"/>
      <c r="C158" s="1276" t="s">
        <v>19</v>
      </c>
      <c r="D158" s="641">
        <f>'8.Trasmissione'!F285</f>
        <v>130.17254887999999</v>
      </c>
      <c r="E158" s="641">
        <f>'9.Ventilazione'!I141</f>
        <v>9.2243694239999989</v>
      </c>
      <c r="F158" s="641">
        <f>'7.Apporti gratuiti'!M151</f>
        <v>48.914500311643195</v>
      </c>
      <c r="G158" s="641">
        <v>0</v>
      </c>
      <c r="H158" s="1129">
        <f>(D158+E158)-($K$24*(F158+G158))</f>
        <v>91.879828768800905</v>
      </c>
      <c r="I158" s="1125">
        <f>'8.Trasmissione'!I285</f>
        <v>115.49729311999998</v>
      </c>
      <c r="J158" s="1044">
        <f>'9.Ventilazione'!K141</f>
        <v>8.1844421759999992</v>
      </c>
      <c r="K158" s="1044">
        <f>'7.Apporti gratuiti'!N151</f>
        <v>45.758726097988792</v>
      </c>
      <c r="L158" s="320">
        <v>0</v>
      </c>
      <c r="M158" s="1126">
        <f t="shared" si="12"/>
        <v>79.560653195299579</v>
      </c>
      <c r="N158" s="530">
        <f>'8.Trasmissione'!L285</f>
        <v>96.622922880000004</v>
      </c>
      <c r="O158" s="1044">
        <f>'9.Ventilazione'!M141</f>
        <v>6.8469546239999985</v>
      </c>
      <c r="P158" s="1044">
        <f>'7.Apporti gratuiti'!O151</f>
        <v>48.914500311643195</v>
      </c>
      <c r="Q158" s="320">
        <v>0</v>
      </c>
      <c r="R158" s="512">
        <f t="shared" si="13"/>
        <v>57.272103473776518</v>
      </c>
      <c r="S158" s="479"/>
      <c r="T158" s="145"/>
      <c r="U158" s="145"/>
      <c r="V158" s="145"/>
      <c r="W158" s="145"/>
    </row>
    <row r="159" spans="1:23">
      <c r="A159" s="1377"/>
      <c r="B159" s="1803"/>
      <c r="C159" s="1276" t="s">
        <v>588</v>
      </c>
      <c r="D159" s="641">
        <f>'8.Trasmissione'!F286</f>
        <v>34.53238799999999</v>
      </c>
      <c r="E159" s="641">
        <f>'9.Ventilazione'!I142</f>
        <v>19.680213599999998</v>
      </c>
      <c r="F159" s="641">
        <f>'7.Apporti gratuiti'!M152</f>
        <v>24.517938121468795</v>
      </c>
      <c r="G159" s="641">
        <v>0</v>
      </c>
      <c r="H159" s="1129">
        <f t="shared" si="11"/>
        <v>30.395102627021782</v>
      </c>
      <c r="I159" s="1125">
        <f>'8.Trasmissione'!I286</f>
        <v>30.639311999999993</v>
      </c>
      <c r="J159" s="1044">
        <f>'9.Ventilazione'!K142</f>
        <v>17.4615264</v>
      </c>
      <c r="K159" s="1044">
        <f>'7.Apporti gratuiti'!N152</f>
        <v>22.936135662019197</v>
      </c>
      <c r="L159" s="320">
        <v>0</v>
      </c>
      <c r="M159" s="1126">
        <f t="shared" si="12"/>
        <v>25.985556552998791</v>
      </c>
      <c r="N159" s="530">
        <f>'8.Trasmissione'!L286</f>
        <v>25.632287999999992</v>
      </c>
      <c r="O159" s="1044">
        <f>'9.Ventilazione'!M142</f>
        <v>14.607993599999999</v>
      </c>
      <c r="P159" s="1044">
        <f>'7.Apporti gratuiti'!O152</f>
        <v>24.517938121468795</v>
      </c>
      <c r="Q159" s="320">
        <v>0</v>
      </c>
      <c r="R159" s="512">
        <f t="shared" si="13"/>
        <v>17.084077247381767</v>
      </c>
      <c r="S159" s="479"/>
      <c r="T159" s="145"/>
      <c r="U159" s="145"/>
      <c r="V159" s="145"/>
      <c r="W159" s="145"/>
    </row>
    <row r="160" spans="1:23">
      <c r="A160" s="549"/>
      <c r="B160" s="549"/>
      <c r="D160" s="642">
        <f>SUM(D100:D159)</f>
        <v>7050.4604579200004</v>
      </c>
      <c r="E160" s="642">
        <f>SUM(E100:E159)</f>
        <v>1525.1939509823999</v>
      </c>
      <c r="F160" s="642">
        <f>SUM(F100:F159)</f>
        <v>1900.112045197772</v>
      </c>
      <c r="G160" s="642">
        <f>SUM(G100:G159)</f>
        <v>360.00440134104952</v>
      </c>
      <c r="H160" s="642">
        <f>SUM(H100:H159)</f>
        <v>6380.1059546417309</v>
      </c>
      <c r="I160" s="1130">
        <f t="shared" ref="I160:P160" si="14">SUM(I100:I159)</f>
        <v>6255.6130700799949</v>
      </c>
      <c r="J160" s="1130">
        <f t="shared" si="14"/>
        <v>1353.2482411775995</v>
      </c>
      <c r="K160" s="17">
        <f t="shared" si="14"/>
        <v>1777.5241713140442</v>
      </c>
      <c r="L160" s="17">
        <f>SUM(L100:L159)</f>
        <v>419.99354014487852</v>
      </c>
      <c r="M160" s="1131">
        <f t="shared" si="14"/>
        <v>5489.9898383630798</v>
      </c>
      <c r="N160" s="580">
        <f t="shared" si="14"/>
        <v>5233.3314739199986</v>
      </c>
      <c r="O160" s="580">
        <f t="shared" si="14"/>
        <v>1132.1027265023999</v>
      </c>
      <c r="P160" s="580">
        <f t="shared" si="14"/>
        <v>1900.112045197772</v>
      </c>
      <c r="Q160" s="580">
        <f>SUM(Q100:Q159)</f>
        <v>535.17710379014397</v>
      </c>
      <c r="R160" s="580">
        <f>SUM(R100:R159)</f>
        <v>4065.4017542886454</v>
      </c>
      <c r="S160" s="17"/>
      <c r="T160" s="17"/>
      <c r="U160" s="17"/>
      <c r="V160" s="17"/>
      <c r="W160" s="17"/>
    </row>
    <row r="161" spans="1:24">
      <c r="A161" s="294"/>
      <c r="B161" s="294"/>
      <c r="D161" s="20" t="s">
        <v>660</v>
      </c>
      <c r="E161" s="20" t="s">
        <v>660</v>
      </c>
      <c r="F161" s="20" t="s">
        <v>660</v>
      </c>
      <c r="G161" s="20" t="s">
        <v>660</v>
      </c>
      <c r="H161" s="20" t="s">
        <v>660</v>
      </c>
      <c r="I161" s="20" t="s">
        <v>660</v>
      </c>
      <c r="J161" s="20" t="s">
        <v>660</v>
      </c>
      <c r="K161" s="20" t="s">
        <v>660</v>
      </c>
      <c r="L161" s="20" t="s">
        <v>660</v>
      </c>
      <c r="M161" s="20" t="s">
        <v>660</v>
      </c>
      <c r="N161" s="560" t="s">
        <v>660</v>
      </c>
      <c r="O161" s="560" t="s">
        <v>660</v>
      </c>
      <c r="P161" s="560" t="s">
        <v>660</v>
      </c>
      <c r="Q161" s="560" t="s">
        <v>660</v>
      </c>
      <c r="R161" s="560" t="s">
        <v>660</v>
      </c>
      <c r="S161" s="14"/>
      <c r="T161" s="14"/>
      <c r="U161" s="14"/>
      <c r="V161" s="14"/>
      <c r="W161" s="14"/>
    </row>
    <row r="162" spans="1:24">
      <c r="A162" s="294"/>
      <c r="B162" s="294"/>
      <c r="R162" s="20"/>
      <c r="S162" s="19"/>
    </row>
    <row r="163" spans="1:24">
      <c r="A163" s="294"/>
      <c r="B163" s="294"/>
    </row>
    <row r="164" spans="1:24">
      <c r="A164" s="538"/>
      <c r="B164" s="65"/>
      <c r="C164" s="1816" t="s">
        <v>678</v>
      </c>
    </row>
    <row r="165" spans="1:24" ht="15" customHeight="1">
      <c r="A165" s="538"/>
      <c r="B165" s="65"/>
      <c r="C165" s="1816"/>
    </row>
    <row r="166" spans="1:24">
      <c r="A166" s="538"/>
      <c r="B166" s="65"/>
      <c r="C166" s="1817"/>
      <c r="D166" s="558"/>
      <c r="E166" s="558"/>
      <c r="F166" s="14"/>
      <c r="G166" s="14"/>
      <c r="H166" s="14"/>
      <c r="I166" s="14"/>
    </row>
    <row r="167" spans="1:24">
      <c r="A167" s="1838" t="s">
        <v>673</v>
      </c>
      <c r="B167" s="1839"/>
      <c r="C167" s="1447">
        <v>12</v>
      </c>
      <c r="D167" s="1814" t="s">
        <v>674</v>
      </c>
      <c r="E167" s="558"/>
      <c r="F167" s="17"/>
      <c r="G167" s="17"/>
      <c r="H167" s="571"/>
      <c r="I167" s="571"/>
    </row>
    <row r="168" spans="1:24" ht="0.75" customHeight="1">
      <c r="A168" s="1847"/>
      <c r="B168" s="1848"/>
      <c r="C168" s="1453"/>
      <c r="D168" s="1815"/>
      <c r="E168" s="558"/>
      <c r="F168" s="17"/>
      <c r="G168" s="17"/>
      <c r="H168" s="571"/>
      <c r="I168" s="571"/>
    </row>
    <row r="169" spans="1:24" ht="34.5" customHeight="1">
      <c r="A169" s="1849" t="s">
        <v>675</v>
      </c>
      <c r="B169" s="1850"/>
      <c r="C169" s="577">
        <v>1.3</v>
      </c>
      <c r="D169" s="578"/>
      <c r="E169" s="558"/>
      <c r="F169" s="17"/>
      <c r="G169" s="17"/>
      <c r="H169" s="571"/>
      <c r="I169" s="571"/>
    </row>
    <row r="170" spans="1:24" ht="15" customHeight="1">
      <c r="A170" s="1851" t="s">
        <v>669</v>
      </c>
      <c r="B170" s="1852"/>
      <c r="C170" s="1855">
        <f>I16</f>
        <v>29083.974431637027</v>
      </c>
      <c r="D170" s="1814" t="s">
        <v>672</v>
      </c>
      <c r="E170" s="558"/>
      <c r="F170" s="17"/>
      <c r="G170" s="17"/>
      <c r="H170" s="571"/>
      <c r="I170" s="571"/>
    </row>
    <row r="171" spans="1:24">
      <c r="A171" s="1853"/>
      <c r="B171" s="1854"/>
      <c r="C171" s="1856"/>
      <c r="D171" s="1815"/>
      <c r="E171" s="19"/>
      <c r="F171" s="17"/>
      <c r="G171" s="17"/>
      <c r="H171" s="571"/>
      <c r="I171" s="571"/>
    </row>
    <row r="172" spans="1:24">
      <c r="A172" s="1838" t="s">
        <v>676</v>
      </c>
      <c r="B172" s="1839"/>
      <c r="C172" s="1842">
        <f>C170/C167</f>
        <v>2423.6645359697523</v>
      </c>
      <c r="D172" s="1814" t="s">
        <v>181</v>
      </c>
      <c r="E172" s="558"/>
      <c r="F172" s="17"/>
      <c r="G172" s="14"/>
      <c r="H172" s="571"/>
      <c r="I172" s="571"/>
    </row>
    <row r="173" spans="1:24">
      <c r="A173" s="1840"/>
      <c r="B173" s="1841"/>
      <c r="C173" s="1843"/>
      <c r="D173" s="1815"/>
      <c r="E173" s="558"/>
      <c r="F173" s="14"/>
      <c r="G173" s="14"/>
      <c r="H173" s="14"/>
      <c r="I173" s="14"/>
    </row>
    <row r="174" spans="1:24">
      <c r="A174" s="1838" t="s">
        <v>677</v>
      </c>
      <c r="B174" s="1839"/>
      <c r="C174" s="1820">
        <f>C169*C172</f>
        <v>3150.7638967606781</v>
      </c>
      <c r="D174" s="1823"/>
      <c r="E174" s="558"/>
      <c r="F174" s="14"/>
      <c r="G174" s="14"/>
      <c r="H174" s="14"/>
      <c r="I174" s="14"/>
    </row>
    <row r="175" spans="1:24">
      <c r="A175" s="1840"/>
      <c r="B175" s="1841"/>
      <c r="C175" s="1821"/>
      <c r="D175" s="1824"/>
      <c r="E175" s="558"/>
      <c r="F175" s="14"/>
      <c r="G175" s="14"/>
      <c r="H175" s="14"/>
      <c r="I175" s="14"/>
    </row>
    <row r="176" spans="1:24" ht="15" customHeight="1">
      <c r="A176" s="1818" t="str">
        <f>A179</f>
        <v>15 Novembre - 31 Marzo</v>
      </c>
      <c r="B176" s="1819"/>
      <c r="C176" s="1822"/>
      <c r="D176" s="1825"/>
      <c r="E176" s="560"/>
      <c r="F176" s="14"/>
      <c r="G176" s="14"/>
      <c r="H176" s="14"/>
      <c r="I176" s="14"/>
      <c r="J176" s="560"/>
      <c r="K176" s="560"/>
      <c r="L176" s="560"/>
      <c r="M176" s="560"/>
      <c r="N176" s="560"/>
      <c r="O176" s="560"/>
      <c r="P176" s="560"/>
      <c r="Q176" s="560"/>
      <c r="V176" s="9"/>
      <c r="W176" s="9"/>
      <c r="X176" s="9"/>
    </row>
    <row r="177" spans="1:26" ht="15" customHeight="1">
      <c r="A177" s="1408" t="s">
        <v>415</v>
      </c>
      <c r="B177" s="1702"/>
      <c r="C177" s="1409"/>
      <c r="D177" s="587" t="s">
        <v>213</v>
      </c>
      <c r="E177" s="31" t="s">
        <v>679</v>
      </c>
      <c r="F177" s="582" t="s">
        <v>679</v>
      </c>
      <c r="G177" s="1136" t="s">
        <v>214</v>
      </c>
      <c r="H177" s="586" t="s">
        <v>679</v>
      </c>
      <c r="I177" s="1137" t="s">
        <v>679</v>
      </c>
      <c r="J177" s="1045" t="s">
        <v>215</v>
      </c>
      <c r="K177" s="586" t="s">
        <v>679</v>
      </c>
      <c r="L177" s="582" t="s">
        <v>679</v>
      </c>
      <c r="M177" s="1136" t="s">
        <v>204</v>
      </c>
      <c r="N177" s="586" t="s">
        <v>679</v>
      </c>
      <c r="O177" s="1137" t="s">
        <v>679</v>
      </c>
      <c r="P177" s="1045" t="s">
        <v>205</v>
      </c>
      <c r="Q177" s="586" t="s">
        <v>679</v>
      </c>
      <c r="R177" s="582" t="s">
        <v>679</v>
      </c>
      <c r="S177" s="1136" t="s">
        <v>206</v>
      </c>
      <c r="T177" s="586" t="s">
        <v>679</v>
      </c>
      <c r="U177" s="1137" t="s">
        <v>679</v>
      </c>
      <c r="V177" s="380"/>
      <c r="W177" s="31"/>
      <c r="X177" s="31"/>
    </row>
    <row r="178" spans="1:26" ht="24" customHeight="1">
      <c r="A178" s="1350"/>
      <c r="B178" s="1351"/>
      <c r="C178" s="1410"/>
      <c r="D178" s="261" t="s">
        <v>414</v>
      </c>
      <c r="E178" s="31" t="s">
        <v>680</v>
      </c>
      <c r="F178" s="583" t="s">
        <v>680</v>
      </c>
      <c r="G178" s="1121" t="s">
        <v>414</v>
      </c>
      <c r="H178" s="31" t="s">
        <v>680</v>
      </c>
      <c r="I178" s="1138" t="s">
        <v>680</v>
      </c>
      <c r="J178" s="1068" t="s">
        <v>414</v>
      </c>
      <c r="K178" s="31" t="s">
        <v>680</v>
      </c>
      <c r="L178" s="583" t="s">
        <v>680</v>
      </c>
      <c r="M178" s="1121" t="s">
        <v>414</v>
      </c>
      <c r="N178" s="31" t="s">
        <v>680</v>
      </c>
      <c r="O178" s="1138" t="s">
        <v>680</v>
      </c>
      <c r="P178" s="1068" t="s">
        <v>414</v>
      </c>
      <c r="Q178" s="31" t="s">
        <v>680</v>
      </c>
      <c r="R178" s="583" t="s">
        <v>680</v>
      </c>
      <c r="S178" s="1121" t="s">
        <v>414</v>
      </c>
      <c r="T178" s="31" t="s">
        <v>680</v>
      </c>
      <c r="U178" s="1138" t="s">
        <v>680</v>
      </c>
      <c r="V178" s="63"/>
      <c r="W178" s="31"/>
      <c r="X178" s="31"/>
    </row>
    <row r="179" spans="1:26" ht="31.5" customHeight="1">
      <c r="A179" s="1385" t="str">
        <f>A99</f>
        <v>15 Novembre - 31 Marzo</v>
      </c>
      <c r="B179" s="1351"/>
      <c r="C179" s="1410"/>
      <c r="D179" s="174" t="s">
        <v>218</v>
      </c>
      <c r="E179" s="584" t="s">
        <v>681</v>
      </c>
      <c r="F179" s="585" t="s">
        <v>682</v>
      </c>
      <c r="G179" s="1139" t="s">
        <v>218</v>
      </c>
      <c r="H179" s="1133" t="s">
        <v>681</v>
      </c>
      <c r="I179" s="1140" t="s">
        <v>682</v>
      </c>
      <c r="J179" s="1046" t="s">
        <v>218</v>
      </c>
      <c r="K179" s="584" t="s">
        <v>681</v>
      </c>
      <c r="L179" s="585" t="s">
        <v>682</v>
      </c>
      <c r="M179" s="1139" t="s">
        <v>218</v>
      </c>
      <c r="N179" s="1133" t="s">
        <v>681</v>
      </c>
      <c r="O179" s="1140" t="s">
        <v>682</v>
      </c>
      <c r="P179" s="1046" t="s">
        <v>218</v>
      </c>
      <c r="Q179" s="584" t="s">
        <v>681</v>
      </c>
      <c r="R179" s="585" t="s">
        <v>682</v>
      </c>
      <c r="S179" s="1139" t="s">
        <v>218</v>
      </c>
      <c r="T179" s="1133" t="s">
        <v>681</v>
      </c>
      <c r="U179" s="1140" t="s">
        <v>682</v>
      </c>
      <c r="V179" s="34"/>
      <c r="X179" s="1837" t="s">
        <v>683</v>
      </c>
      <c r="Y179" s="1837"/>
    </row>
    <row r="180" spans="1:26" ht="15" customHeight="1">
      <c r="A180" s="1484" t="s">
        <v>34</v>
      </c>
      <c r="B180" s="1796" t="s">
        <v>809</v>
      </c>
      <c r="C180" s="1282" t="s">
        <v>9</v>
      </c>
      <c r="D180" s="1044"/>
      <c r="E180" s="572"/>
      <c r="F180" s="573"/>
      <c r="G180" s="1125">
        <f>M34</f>
        <v>12.531980823990096</v>
      </c>
      <c r="H180" s="572">
        <f>(G180/$C$167)*$C$169</f>
        <v>1.3576312559322605</v>
      </c>
      <c r="I180" s="1141">
        <f>SUM(H180:H189)</f>
        <v>9.3009518535384537</v>
      </c>
      <c r="J180" s="530">
        <f>R34</f>
        <v>126.4481683565445</v>
      </c>
      <c r="K180" s="572">
        <f t="shared" ref="K180:K240" si="15">(J180/$C$167)*$C$169</f>
        <v>13.698551571958989</v>
      </c>
      <c r="L180" s="1141">
        <f t="shared" ref="L180:U180" si="16">SUM(K180:K189)</f>
        <v>111.53121256035027</v>
      </c>
      <c r="M180" s="1125">
        <f>H100</f>
        <v>153.55935365410406</v>
      </c>
      <c r="N180" s="572">
        <f t="shared" ref="N180:N240" si="17">(M180/$C$167)*$C$169</f>
        <v>16.635596645861273</v>
      </c>
      <c r="O180" s="1141">
        <f t="shared" si="16"/>
        <v>135.87088696873204</v>
      </c>
      <c r="P180" s="530">
        <f>M100</f>
        <v>134.05862330614053</v>
      </c>
      <c r="Q180" s="572">
        <f t="shared" ref="Q180:Q240" si="18">(P180/$C$167)*$C$169</f>
        <v>14.523017524831891</v>
      </c>
      <c r="R180" s="1141">
        <f t="shared" si="16"/>
        <v>118.40345407147967</v>
      </c>
      <c r="S180" s="1125">
        <f>R100</f>
        <v>103.86181618945719</v>
      </c>
      <c r="T180" s="572">
        <f t="shared" ref="T180:T239" si="19">(S180/$C$167)*$C$169</f>
        <v>11.251696753857862</v>
      </c>
      <c r="U180" s="1141">
        <f t="shared" si="16"/>
        <v>91.139451387036274</v>
      </c>
      <c r="V180" s="138"/>
      <c r="W180" s="1065">
        <f>SUM(F180,I180,L180,O180,R180,U180)</f>
        <v>466.24595684113672</v>
      </c>
      <c r="X180" s="1023"/>
      <c r="Y180" s="1057">
        <f>W180/$C$169</f>
        <v>358.65073603164359</v>
      </c>
      <c r="Z180" s="1058"/>
    </row>
    <row r="181" spans="1:26">
      <c r="A181" s="1485"/>
      <c r="B181" s="1797"/>
      <c r="C181" s="1283" t="s">
        <v>804</v>
      </c>
      <c r="D181" s="1044"/>
      <c r="E181" s="572"/>
      <c r="F181" s="1135"/>
      <c r="G181" s="1125">
        <f t="shared" ref="G181:G239" si="20">M35</f>
        <v>60.808530618658509</v>
      </c>
      <c r="H181" s="572">
        <f t="shared" ref="H181:H239" si="21">(G181/$C$167)*$C$169</f>
        <v>6.5875908170213391</v>
      </c>
      <c r="I181" s="1142"/>
      <c r="J181" s="530">
        <f t="shared" ref="J181:J239" si="22">R35</f>
        <v>435.34104848693164</v>
      </c>
      <c r="K181" s="572">
        <f t="shared" si="15"/>
        <v>47.161946919417595</v>
      </c>
      <c r="L181" s="1135"/>
      <c r="M181" s="1125">
        <f t="shared" ref="M181:M239" si="23">H101</f>
        <v>523.50295786363142</v>
      </c>
      <c r="N181" s="572">
        <f t="shared" si="17"/>
        <v>56.712820435226739</v>
      </c>
      <c r="O181" s="1145"/>
      <c r="P181" s="530">
        <f t="shared" ref="P181:P239" si="24">M101</f>
        <v>458.13496518294096</v>
      </c>
      <c r="Q181" s="572">
        <f t="shared" si="18"/>
        <v>49.631287894818605</v>
      </c>
      <c r="R181" s="1135"/>
      <c r="S181" s="1125">
        <f t="shared" ref="S181:S239" si="25">R101</f>
        <v>360.8408363358763</v>
      </c>
      <c r="T181" s="572">
        <f t="shared" si="19"/>
        <v>39.091090603053267</v>
      </c>
      <c r="U181" s="1145"/>
      <c r="V181" s="138"/>
      <c r="W181" s="1024"/>
      <c r="X181" s="1026"/>
      <c r="Y181" s="1059"/>
      <c r="Z181" s="1060"/>
    </row>
    <row r="182" spans="1:26">
      <c r="A182" s="1485"/>
      <c r="B182" s="1797"/>
      <c r="C182" s="1283" t="s">
        <v>22</v>
      </c>
      <c r="D182" s="1044"/>
      <c r="E182" s="572"/>
      <c r="F182" s="1135"/>
      <c r="G182" s="1125">
        <f t="shared" si="20"/>
        <v>-4.4005326773923779</v>
      </c>
      <c r="H182" s="572">
        <f t="shared" si="21"/>
        <v>-0.47672437338417428</v>
      </c>
      <c r="I182" s="1142"/>
      <c r="J182" s="530">
        <f t="shared" si="22"/>
        <v>11.717827076729545</v>
      </c>
      <c r="K182" s="572">
        <f t="shared" si="15"/>
        <v>1.2694312666457008</v>
      </c>
      <c r="L182" s="1135"/>
      <c r="M182" s="1125">
        <f t="shared" si="23"/>
        <v>15.557551450725974</v>
      </c>
      <c r="N182" s="572">
        <f t="shared" si="17"/>
        <v>1.6854014071619807</v>
      </c>
      <c r="O182" s="1145"/>
      <c r="P182" s="530">
        <f t="shared" si="24"/>
        <v>12.720769475161836</v>
      </c>
      <c r="Q182" s="572">
        <f t="shared" si="18"/>
        <v>1.378083359809199</v>
      </c>
      <c r="R182" s="1135"/>
      <c r="S182" s="1125">
        <f t="shared" si="25"/>
        <v>7.3146526449098701</v>
      </c>
      <c r="T182" s="572">
        <f t="shared" si="19"/>
        <v>0.79242070319856939</v>
      </c>
      <c r="U182" s="1145"/>
      <c r="V182" s="138"/>
      <c r="W182" s="1024"/>
      <c r="X182" s="1026"/>
      <c r="Y182" s="1059"/>
      <c r="Z182" s="1060"/>
    </row>
    <row r="183" spans="1:26">
      <c r="A183" s="1485"/>
      <c r="B183" s="1797"/>
      <c r="C183" s="1283" t="s">
        <v>803</v>
      </c>
      <c r="D183" s="1044"/>
      <c r="E183" s="572"/>
      <c r="F183" s="1135"/>
      <c r="G183" s="1125">
        <f t="shared" si="20"/>
        <v>2.7904868625958876</v>
      </c>
      <c r="H183" s="572">
        <f t="shared" si="21"/>
        <v>0.30230274344788782</v>
      </c>
      <c r="I183" s="1142"/>
      <c r="J183" s="530">
        <f t="shared" si="22"/>
        <v>24.456611264682763</v>
      </c>
      <c r="K183" s="572">
        <f t="shared" si="15"/>
        <v>2.6494662203406327</v>
      </c>
      <c r="L183" s="1135"/>
      <c r="M183" s="1125">
        <f t="shared" si="23"/>
        <v>29.54584321489239</v>
      </c>
      <c r="N183" s="572">
        <f t="shared" si="17"/>
        <v>3.2007996816133422</v>
      </c>
      <c r="O183" s="1145"/>
      <c r="P183" s="530">
        <f t="shared" si="24"/>
        <v>25.67549527991293</v>
      </c>
      <c r="Q183" s="572">
        <f t="shared" si="18"/>
        <v>2.7815119886572339</v>
      </c>
      <c r="R183" s="1135"/>
      <c r="S183" s="1125">
        <f t="shared" si="25"/>
        <v>19.934400875081622</v>
      </c>
      <c r="T183" s="572">
        <f t="shared" si="19"/>
        <v>2.1595600948005091</v>
      </c>
      <c r="U183" s="1145"/>
      <c r="V183" s="138"/>
      <c r="W183" s="1024"/>
      <c r="X183" s="1026"/>
      <c r="Y183" s="1059"/>
      <c r="Z183" s="1060"/>
    </row>
    <row r="184" spans="1:26">
      <c r="A184" s="1485"/>
      <c r="B184" s="1797"/>
      <c r="C184" s="1283" t="s">
        <v>802</v>
      </c>
      <c r="D184" s="1044"/>
      <c r="E184" s="572"/>
      <c r="F184" s="1135"/>
      <c r="G184" s="1125">
        <f t="shared" si="20"/>
        <v>-3.592263418424043</v>
      </c>
      <c r="H184" s="572">
        <f t="shared" si="21"/>
        <v>-0.38916187032927135</v>
      </c>
      <c r="I184" s="1142"/>
      <c r="J184" s="530">
        <f t="shared" si="22"/>
        <v>65.04286504634544</v>
      </c>
      <c r="K184" s="572">
        <f t="shared" si="15"/>
        <v>7.0463103800207563</v>
      </c>
      <c r="L184" s="1135"/>
      <c r="M184" s="1125">
        <f t="shared" si="23"/>
        <v>82.041454742428812</v>
      </c>
      <c r="N184" s="572">
        <f t="shared" si="17"/>
        <v>8.8878242637631217</v>
      </c>
      <c r="O184" s="1145"/>
      <c r="P184" s="530">
        <f t="shared" si="24"/>
        <v>71.276649659764615</v>
      </c>
      <c r="Q184" s="572">
        <f t="shared" si="18"/>
        <v>7.721637046474501</v>
      </c>
      <c r="R184" s="1135"/>
      <c r="S184" s="1125">
        <f t="shared" si="25"/>
        <v>52.45041809346246</v>
      </c>
      <c r="T184" s="572">
        <f t="shared" si="19"/>
        <v>5.6821286267917666</v>
      </c>
      <c r="U184" s="1145"/>
      <c r="V184" s="138"/>
      <c r="W184" s="1024"/>
      <c r="X184" s="1026"/>
      <c r="Y184" s="1059"/>
      <c r="Z184" s="1060"/>
    </row>
    <row r="185" spans="1:26">
      <c r="A185" s="1485"/>
      <c r="B185" s="1797"/>
      <c r="C185" s="1283" t="s">
        <v>587</v>
      </c>
      <c r="D185" s="1044"/>
      <c r="E185" s="572"/>
      <c r="F185" s="1135"/>
      <c r="G185" s="1125">
        <f t="shared" si="20"/>
        <v>9.7780926020373951</v>
      </c>
      <c r="H185" s="572">
        <f t="shared" si="21"/>
        <v>1.0592933652207179</v>
      </c>
      <c r="I185" s="1142"/>
      <c r="J185" s="530">
        <f t="shared" si="22"/>
        <v>69.738098960954332</v>
      </c>
      <c r="K185" s="572">
        <f t="shared" si="15"/>
        <v>7.5549607207700529</v>
      </c>
      <c r="L185" s="1135"/>
      <c r="M185" s="1125">
        <f t="shared" si="23"/>
        <v>83.663375009559999</v>
      </c>
      <c r="N185" s="572">
        <f t="shared" si="17"/>
        <v>9.0635322927023338</v>
      </c>
      <c r="O185" s="1145"/>
      <c r="P185" s="530">
        <f t="shared" si="24"/>
        <v>73.07665680818792</v>
      </c>
      <c r="Q185" s="572">
        <f t="shared" si="18"/>
        <v>7.9166378208870247</v>
      </c>
      <c r="R185" s="1135"/>
      <c r="S185" s="1125">
        <f t="shared" si="25"/>
        <v>57.445026427306104</v>
      </c>
      <c r="T185" s="572">
        <f t="shared" si="19"/>
        <v>6.2232111962914951</v>
      </c>
      <c r="U185" s="1145"/>
      <c r="V185" s="1150"/>
      <c r="W185" s="1024"/>
      <c r="X185" s="1026"/>
      <c r="Y185" s="1059"/>
      <c r="Z185" s="1060"/>
    </row>
    <row r="186" spans="1:26">
      <c r="A186" s="1485"/>
      <c r="B186" s="1797"/>
      <c r="C186" s="1283" t="s">
        <v>20</v>
      </c>
      <c r="D186" s="1044"/>
      <c r="E186" s="572"/>
      <c r="F186" s="1135"/>
      <c r="G186" s="1125">
        <f t="shared" si="20"/>
        <v>11.342900463420982</v>
      </c>
      <c r="H186" s="572">
        <f t="shared" si="21"/>
        <v>1.2288142168706064</v>
      </c>
      <c r="I186" s="1142"/>
      <c r="J186" s="530">
        <f t="shared" si="22"/>
        <v>123.04273153462069</v>
      </c>
      <c r="K186" s="572">
        <f t="shared" si="15"/>
        <v>13.329629249583908</v>
      </c>
      <c r="L186" s="1135"/>
      <c r="M186" s="1125">
        <f t="shared" si="23"/>
        <v>149.18092707808901</v>
      </c>
      <c r="N186" s="572">
        <f t="shared" si="17"/>
        <v>16.16126710012631</v>
      </c>
      <c r="O186" s="1145"/>
      <c r="P186" s="530">
        <f t="shared" si="24"/>
        <v>129.49011489493179</v>
      </c>
      <c r="Q186" s="572">
        <f t="shared" si="18"/>
        <v>14.028095780284279</v>
      </c>
      <c r="R186" s="1135"/>
      <c r="S186" s="1125">
        <f t="shared" si="25"/>
        <v>99.317733859635453</v>
      </c>
      <c r="T186" s="572">
        <f t="shared" si="19"/>
        <v>10.759421168127174</v>
      </c>
      <c r="U186" s="1145"/>
      <c r="V186" s="1150"/>
      <c r="W186" s="1024"/>
      <c r="X186" s="1026"/>
      <c r="Y186" s="1059"/>
      <c r="Z186" s="1060"/>
    </row>
    <row r="187" spans="1:26">
      <c r="A187" s="1485"/>
      <c r="B187" s="1797"/>
      <c r="C187" s="1283" t="s">
        <v>586</v>
      </c>
      <c r="D187" s="1044"/>
      <c r="E187" s="572"/>
      <c r="F187" s="1135"/>
      <c r="G187" s="1125">
        <f t="shared" si="20"/>
        <v>8.0977426058327406</v>
      </c>
      <c r="H187" s="572">
        <f t="shared" si="21"/>
        <v>0.87725544896521357</v>
      </c>
      <c r="I187" s="1142"/>
      <c r="J187" s="530">
        <f t="shared" si="22"/>
        <v>64.653118814677043</v>
      </c>
      <c r="K187" s="572">
        <f t="shared" si="15"/>
        <v>7.0040878715900137</v>
      </c>
      <c r="L187" s="1135"/>
      <c r="M187" s="1125">
        <f t="shared" si="23"/>
        <v>77.957445979041509</v>
      </c>
      <c r="N187" s="572">
        <f t="shared" si="17"/>
        <v>8.4453899810628297</v>
      </c>
      <c r="O187" s="1145"/>
      <c r="P187" s="530">
        <f t="shared" si="24"/>
        <v>67.972778704473569</v>
      </c>
      <c r="Q187" s="572">
        <f t="shared" si="18"/>
        <v>7.3637176929846362</v>
      </c>
      <c r="R187" s="1135"/>
      <c r="S187" s="1125">
        <f t="shared" si="25"/>
        <v>53.21519602575524</v>
      </c>
      <c r="T187" s="572">
        <f t="shared" si="19"/>
        <v>5.764979569456818</v>
      </c>
      <c r="U187" s="1145"/>
      <c r="V187" s="1150"/>
      <c r="W187" s="1024"/>
      <c r="X187" s="1026"/>
      <c r="Y187" s="1059"/>
      <c r="Z187" s="1060"/>
    </row>
    <row r="188" spans="1:26">
      <c r="A188" s="1485"/>
      <c r="B188" s="1797"/>
      <c r="C188" s="1283" t="s">
        <v>19</v>
      </c>
      <c r="D188" s="1044"/>
      <c r="E188" s="572"/>
      <c r="F188" s="1135"/>
      <c r="G188" s="1125">
        <f t="shared" si="20"/>
        <v>-4.052933493498827</v>
      </c>
      <c r="H188" s="572">
        <f t="shared" si="21"/>
        <v>-0.4390677951290396</v>
      </c>
      <c r="I188" s="1142"/>
      <c r="J188" s="530">
        <f t="shared" si="22"/>
        <v>86.414781126274633</v>
      </c>
      <c r="K188" s="572">
        <f t="shared" si="15"/>
        <v>9.3616012886797524</v>
      </c>
      <c r="L188" s="1135"/>
      <c r="M188" s="1125">
        <f t="shared" si="23"/>
        <v>108.78879116880088</v>
      </c>
      <c r="N188" s="572">
        <f t="shared" si="17"/>
        <v>11.785452376620096</v>
      </c>
      <c r="O188" s="1145"/>
      <c r="P188" s="530">
        <f t="shared" si="24"/>
        <v>94.563350795299584</v>
      </c>
      <c r="Q188" s="572">
        <f t="shared" si="18"/>
        <v>10.244363002824121</v>
      </c>
      <c r="R188" s="1135"/>
      <c r="S188" s="1125">
        <f t="shared" si="25"/>
        <v>69.823085873776506</v>
      </c>
      <c r="T188" s="572">
        <f t="shared" si="19"/>
        <v>7.5641676363257888</v>
      </c>
      <c r="U188" s="1145"/>
      <c r="V188" s="1150"/>
      <c r="W188" s="1024"/>
      <c r="X188" s="1026"/>
      <c r="Y188" s="1059"/>
      <c r="Z188" s="1060"/>
    </row>
    <row r="189" spans="1:26">
      <c r="A189" s="1485"/>
      <c r="B189" s="1798"/>
      <c r="C189" s="1283" t="s">
        <v>588</v>
      </c>
      <c r="D189" s="1033"/>
      <c r="E189" s="573"/>
      <c r="F189" s="1135"/>
      <c r="G189" s="1147">
        <f t="shared" si="20"/>
        <v>-7.4490642007115753</v>
      </c>
      <c r="H189" s="573">
        <f t="shared" si="21"/>
        <v>-0.80698195507708737</v>
      </c>
      <c r="I189" s="1142"/>
      <c r="J189" s="530">
        <f t="shared" si="22"/>
        <v>22.66363450470341</v>
      </c>
      <c r="K189" s="572">
        <f t="shared" si="15"/>
        <v>2.4552270713428697</v>
      </c>
      <c r="L189" s="1135"/>
      <c r="M189" s="1125">
        <f t="shared" si="23"/>
        <v>30.395102627021782</v>
      </c>
      <c r="N189" s="572">
        <f t="shared" si="17"/>
        <v>3.2928027845940262</v>
      </c>
      <c r="O189" s="1145"/>
      <c r="P189" s="530">
        <f t="shared" si="24"/>
        <v>25.985556552998791</v>
      </c>
      <c r="Q189" s="572">
        <f t="shared" si="18"/>
        <v>2.8151019599082026</v>
      </c>
      <c r="R189" s="1135"/>
      <c r="S189" s="1125">
        <f t="shared" si="25"/>
        <v>17.084077247381767</v>
      </c>
      <c r="T189" s="572">
        <f t="shared" si="19"/>
        <v>1.850775035133025</v>
      </c>
      <c r="U189" s="1145"/>
      <c r="V189" s="1150"/>
      <c r="W189" s="1024"/>
      <c r="X189" s="1026"/>
      <c r="Y189" s="1059"/>
      <c r="Z189" s="1060"/>
    </row>
    <row r="190" spans="1:26">
      <c r="A190" s="1485"/>
      <c r="B190" s="1800" t="s">
        <v>810</v>
      </c>
      <c r="C190" s="1282" t="s">
        <v>9</v>
      </c>
      <c r="D190" s="1033"/>
      <c r="E190" s="573"/>
      <c r="F190" s="573"/>
      <c r="G190" s="1125">
        <f t="shared" si="20"/>
        <v>11.31172610675144</v>
      </c>
      <c r="H190" s="572">
        <f t="shared" si="21"/>
        <v>1.2254369948980728</v>
      </c>
      <c r="I190" s="1141">
        <f>SUM(H190:H199)</f>
        <v>7.4654391988569939</v>
      </c>
      <c r="J190" s="530">
        <f t="shared" ref="J190" si="26">R44</f>
        <v>125.1990705075616</v>
      </c>
      <c r="K190" s="572">
        <f t="shared" ref="K190" si="27">(J190/$C$167)*$C$169</f>
        <v>13.563232638319173</v>
      </c>
      <c r="L190" s="1141">
        <f t="shared" ref="L190:U190" si="28">SUM(K190:K199)</f>
        <v>109.82979283743093</v>
      </c>
      <c r="M190" s="1125">
        <f t="shared" ref="M190" si="29">H110</f>
        <v>152.15604455381131</v>
      </c>
      <c r="N190" s="572">
        <f t="shared" ref="N190" si="30">(M190/$C$167)*$C$169</f>
        <v>16.48357149332956</v>
      </c>
      <c r="O190" s="1141">
        <f t="shared" si="28"/>
        <v>134.79996286233327</v>
      </c>
      <c r="P190" s="530">
        <f t="shared" ref="P190" si="31">M110</f>
        <v>132.98818436102704</v>
      </c>
      <c r="Q190" s="572">
        <f t="shared" ref="Q190" si="32">(P190/$C$167)*$C$169</f>
        <v>14.40705330577793</v>
      </c>
      <c r="R190" s="1141">
        <f t="shared" si="28"/>
        <v>117.6276034132167</v>
      </c>
      <c r="S190" s="1125">
        <f t="shared" si="25"/>
        <v>103.38713562436337</v>
      </c>
      <c r="T190" s="572">
        <f t="shared" ref="T190" si="33">(S190/$C$167)*$C$169</f>
        <v>11.200273025972699</v>
      </c>
      <c r="U190" s="1141">
        <f t="shared" si="28"/>
        <v>90.86323576644871</v>
      </c>
      <c r="V190" s="1150"/>
      <c r="W190" s="1065">
        <f>SUM(F190,I190,L190,O190,R190,U190)</f>
        <v>460.58603407828662</v>
      </c>
      <c r="X190" s="1023"/>
      <c r="Y190" s="1057">
        <f>W190/$C$169</f>
        <v>354.29694929098969</v>
      </c>
      <c r="Z190" s="1058"/>
    </row>
    <row r="191" spans="1:26">
      <c r="A191" s="1485"/>
      <c r="B191" s="1800"/>
      <c r="C191" s="1283" t="s">
        <v>804</v>
      </c>
      <c r="D191" s="1033"/>
      <c r="E191" s="573"/>
      <c r="F191" s="1135"/>
      <c r="G191" s="1125">
        <f t="shared" si="20"/>
        <v>58.778637385469281</v>
      </c>
      <c r="H191" s="572">
        <f t="shared" si="21"/>
        <v>6.3676857167591718</v>
      </c>
      <c r="I191" s="1142"/>
      <c r="J191" s="530">
        <f t="shared" si="22"/>
        <v>433.06539985504463</v>
      </c>
      <c r="K191" s="572">
        <f t="shared" si="15"/>
        <v>46.915418317629843</v>
      </c>
      <c r="L191" s="1135"/>
      <c r="M191" s="1125">
        <f t="shared" si="23"/>
        <v>528.43267342233378</v>
      </c>
      <c r="N191" s="572">
        <f t="shared" si="17"/>
        <v>57.246872954086164</v>
      </c>
      <c r="O191" s="1145"/>
      <c r="P191" s="530">
        <f t="shared" si="24"/>
        <v>465.17857974562742</v>
      </c>
      <c r="Q191" s="572">
        <f t="shared" si="18"/>
        <v>50.394346139109643</v>
      </c>
      <c r="R191" s="1135"/>
      <c r="S191" s="1125">
        <f t="shared" si="25"/>
        <v>371.80360196103669</v>
      </c>
      <c r="T191" s="572">
        <f t="shared" si="19"/>
        <v>40.278723545778973</v>
      </c>
      <c r="U191" s="1145"/>
      <c r="V191" s="1150"/>
      <c r="W191" s="1024"/>
      <c r="X191" s="1026"/>
      <c r="Y191" s="1059"/>
      <c r="Z191" s="1060"/>
    </row>
    <row r="192" spans="1:26">
      <c r="A192" s="1485"/>
      <c r="B192" s="1800"/>
      <c r="C192" s="1283" t="s">
        <v>22</v>
      </c>
      <c r="D192" s="1033"/>
      <c r="E192" s="573"/>
      <c r="F192" s="1135"/>
      <c r="G192" s="1125">
        <f t="shared" si="20"/>
        <v>-4.4005326773923779</v>
      </c>
      <c r="H192" s="572">
        <f t="shared" si="21"/>
        <v>-0.47672437338417428</v>
      </c>
      <c r="I192" s="1142"/>
      <c r="J192" s="530">
        <f t="shared" si="22"/>
        <v>11.717827076729545</v>
      </c>
      <c r="K192" s="572">
        <f t="shared" si="15"/>
        <v>1.2694312666457008</v>
      </c>
      <c r="L192" s="1135"/>
      <c r="M192" s="1125">
        <f t="shared" si="23"/>
        <v>15.557551450725974</v>
      </c>
      <c r="N192" s="572">
        <f t="shared" si="17"/>
        <v>1.6854014071619807</v>
      </c>
      <c r="O192" s="1145"/>
      <c r="P192" s="530">
        <f t="shared" si="24"/>
        <v>12.720769475161836</v>
      </c>
      <c r="Q192" s="572">
        <f t="shared" si="18"/>
        <v>1.378083359809199</v>
      </c>
      <c r="R192" s="1135"/>
      <c r="S192" s="1125">
        <f t="shared" si="25"/>
        <v>7.3146526449098701</v>
      </c>
      <c r="T192" s="572">
        <f t="shared" si="19"/>
        <v>0.79242070319856939</v>
      </c>
      <c r="U192" s="1145"/>
      <c r="V192" s="1150"/>
      <c r="W192" s="1024"/>
      <c r="X192" s="1026"/>
      <c r="Y192" s="1059"/>
      <c r="Z192" s="1060"/>
    </row>
    <row r="193" spans="1:26">
      <c r="A193" s="1485"/>
      <c r="B193" s="1800"/>
      <c r="C193" s="1283" t="s">
        <v>803</v>
      </c>
      <c r="D193" s="1033"/>
      <c r="E193" s="573"/>
      <c r="F193" s="1135"/>
      <c r="G193" s="1125">
        <f t="shared" si="20"/>
        <v>-0.18483899302110096</v>
      </c>
      <c r="H193" s="572">
        <f t="shared" si="21"/>
        <v>-2.0024224243952605E-2</v>
      </c>
      <c r="I193" s="1142"/>
      <c r="J193" s="530">
        <f t="shared" si="22"/>
        <v>23.099508736214418</v>
      </c>
      <c r="K193" s="572">
        <f t="shared" si="15"/>
        <v>2.5024467797565619</v>
      </c>
      <c r="L193" s="1135"/>
      <c r="M193" s="1125">
        <f t="shared" si="23"/>
        <v>28.164035996020637</v>
      </c>
      <c r="N193" s="572">
        <f t="shared" si="17"/>
        <v>3.0511038995689028</v>
      </c>
      <c r="O193" s="1145"/>
      <c r="P193" s="530">
        <f t="shared" si="24"/>
        <v>24.142670109215537</v>
      </c>
      <c r="Q193" s="572">
        <f t="shared" si="18"/>
        <v>2.6154559284983501</v>
      </c>
      <c r="R193" s="1135"/>
      <c r="S193" s="1125">
        <f t="shared" si="25"/>
        <v>18.141196034169958</v>
      </c>
      <c r="T193" s="572">
        <f t="shared" si="19"/>
        <v>1.9652962370350788</v>
      </c>
      <c r="U193" s="1145"/>
      <c r="V193" s="1150"/>
      <c r="W193" s="1024"/>
      <c r="X193" s="1026"/>
      <c r="Y193" s="1059"/>
      <c r="Z193" s="1060"/>
    </row>
    <row r="194" spans="1:26">
      <c r="A194" s="1485"/>
      <c r="B194" s="1800"/>
      <c r="C194" s="1283" t="s">
        <v>802</v>
      </c>
      <c r="D194" s="1033"/>
      <c r="E194" s="573"/>
      <c r="F194" s="1135"/>
      <c r="G194" s="1125">
        <f t="shared" si="20"/>
        <v>-3.592263418424043</v>
      </c>
      <c r="H194" s="572">
        <f t="shared" si="21"/>
        <v>-0.38916187032927135</v>
      </c>
      <c r="I194" s="1142"/>
      <c r="J194" s="530">
        <f t="shared" si="22"/>
        <v>65.04286504634544</v>
      </c>
      <c r="K194" s="572">
        <f t="shared" si="15"/>
        <v>7.0463103800207563</v>
      </c>
      <c r="L194" s="1135"/>
      <c r="M194" s="1125">
        <f t="shared" si="23"/>
        <v>82.041454742428812</v>
      </c>
      <c r="N194" s="572">
        <f t="shared" si="17"/>
        <v>8.8878242637631217</v>
      </c>
      <c r="O194" s="1145"/>
      <c r="P194" s="530">
        <f t="shared" si="24"/>
        <v>71.276649659764615</v>
      </c>
      <c r="Q194" s="572">
        <f t="shared" si="18"/>
        <v>7.721637046474501</v>
      </c>
      <c r="R194" s="1135"/>
      <c r="S194" s="1125">
        <f t="shared" si="25"/>
        <v>52.45041809346246</v>
      </c>
      <c r="T194" s="572">
        <f t="shared" si="19"/>
        <v>5.6821286267917666</v>
      </c>
      <c r="U194" s="1145"/>
      <c r="V194" s="1150"/>
      <c r="W194" s="1024"/>
      <c r="X194" s="1026"/>
      <c r="Y194" s="1059"/>
      <c r="Z194" s="1060"/>
    </row>
    <row r="195" spans="1:26">
      <c r="A195" s="1485"/>
      <c r="B195" s="1800"/>
      <c r="C195" s="1283" t="s">
        <v>587</v>
      </c>
      <c r="D195" s="1033"/>
      <c r="E195" s="573"/>
      <c r="F195" s="1135"/>
      <c r="G195" s="1125">
        <f t="shared" si="20"/>
        <v>9.773210126372339</v>
      </c>
      <c r="H195" s="572">
        <f t="shared" si="21"/>
        <v>1.0587644303570034</v>
      </c>
      <c r="I195" s="1142"/>
      <c r="J195" s="530">
        <f t="shared" si="22"/>
        <v>69.733583161699215</v>
      </c>
      <c r="K195" s="572">
        <f t="shared" si="15"/>
        <v>7.5544715091840819</v>
      </c>
      <c r="L195" s="1135"/>
      <c r="M195" s="1125">
        <f t="shared" si="23"/>
        <v>83.663375009559999</v>
      </c>
      <c r="N195" s="572">
        <f t="shared" si="17"/>
        <v>9.0635322927023338</v>
      </c>
      <c r="O195" s="1145"/>
      <c r="P195" s="530">
        <f t="shared" si="24"/>
        <v>73.070136673154167</v>
      </c>
      <c r="Q195" s="572">
        <f t="shared" si="18"/>
        <v>7.9159314729250347</v>
      </c>
      <c r="R195" s="1135"/>
      <c r="S195" s="1125">
        <f t="shared" si="25"/>
        <v>57.436031255960145</v>
      </c>
      <c r="T195" s="572">
        <f t="shared" si="19"/>
        <v>6.2222367193956822</v>
      </c>
      <c r="U195" s="1145"/>
      <c r="V195" s="1150"/>
      <c r="W195" s="1024"/>
      <c r="X195" s="1026"/>
      <c r="Y195" s="1059"/>
      <c r="Z195" s="1060"/>
    </row>
    <row r="196" spans="1:26">
      <c r="A196" s="1485"/>
      <c r="B196" s="1800"/>
      <c r="C196" s="1283" t="s">
        <v>20</v>
      </c>
      <c r="D196" s="1033"/>
      <c r="E196" s="573"/>
      <c r="F196" s="1135"/>
      <c r="G196" s="1125">
        <f t="shared" si="20"/>
        <v>7.7460347746721823</v>
      </c>
      <c r="H196" s="572">
        <f t="shared" si="21"/>
        <v>0.8391537672561532</v>
      </c>
      <c r="I196" s="1142"/>
      <c r="J196" s="530">
        <f t="shared" si="22"/>
        <v>119.41015632894124</v>
      </c>
      <c r="K196" s="572">
        <f t="shared" si="15"/>
        <v>12.936100268968636</v>
      </c>
      <c r="L196" s="1135"/>
      <c r="M196" s="1125">
        <f t="shared" si="23"/>
        <v>145.14172594228967</v>
      </c>
      <c r="N196" s="572">
        <f t="shared" si="17"/>
        <v>15.72368697708138</v>
      </c>
      <c r="O196" s="1145"/>
      <c r="P196" s="530">
        <f t="shared" si="24"/>
        <v>125.59754622446364</v>
      </c>
      <c r="Q196" s="572">
        <f t="shared" si="18"/>
        <v>13.606400840983561</v>
      </c>
      <c r="R196" s="1135"/>
      <c r="S196" s="1125">
        <f t="shared" si="25"/>
        <v>95.546946938905023</v>
      </c>
      <c r="T196" s="572">
        <f t="shared" si="19"/>
        <v>10.350919251714712</v>
      </c>
      <c r="U196" s="1145"/>
      <c r="V196" s="1150"/>
      <c r="W196" s="1024"/>
      <c r="X196" s="1026"/>
      <c r="Y196" s="1059"/>
      <c r="Z196" s="1060"/>
    </row>
    <row r="197" spans="1:26">
      <c r="A197" s="1485"/>
      <c r="B197" s="1800"/>
      <c r="C197" s="1283" t="s">
        <v>586</v>
      </c>
      <c r="D197" s="1033"/>
      <c r="E197" s="573"/>
      <c r="F197" s="1135"/>
      <c r="G197" s="1125">
        <f t="shared" si="20"/>
        <v>0.98177084077031651</v>
      </c>
      <c r="H197" s="572">
        <f t="shared" si="21"/>
        <v>0.10635850775011763</v>
      </c>
      <c r="I197" s="1142"/>
      <c r="J197" s="530">
        <f t="shared" si="22"/>
        <v>57.46664600200198</v>
      </c>
      <c r="K197" s="572">
        <f t="shared" si="15"/>
        <v>6.2255533168835475</v>
      </c>
      <c r="L197" s="1135"/>
      <c r="M197" s="1125">
        <f t="shared" si="23"/>
        <v>69.966594585468144</v>
      </c>
      <c r="N197" s="572">
        <f t="shared" si="17"/>
        <v>7.5797144134257159</v>
      </c>
      <c r="O197" s="1145"/>
      <c r="P197" s="530">
        <f t="shared" si="24"/>
        <v>60.269818679133863</v>
      </c>
      <c r="Q197" s="572">
        <f t="shared" si="18"/>
        <v>6.5292303569061687</v>
      </c>
      <c r="R197" s="1135"/>
      <c r="S197" s="1125">
        <f t="shared" si="25"/>
        <v>45.750415247099255</v>
      </c>
      <c r="T197" s="572">
        <f t="shared" si="19"/>
        <v>4.9562949851024198</v>
      </c>
      <c r="U197" s="1145"/>
      <c r="V197" s="1150"/>
      <c r="W197" s="1024"/>
      <c r="X197" s="1026"/>
      <c r="Y197" s="1059"/>
      <c r="Z197" s="1060"/>
    </row>
    <row r="198" spans="1:26">
      <c r="A198" s="1485"/>
      <c r="B198" s="1800"/>
      <c r="C198" s="1283" t="s">
        <v>19</v>
      </c>
      <c r="D198" s="1033"/>
      <c r="E198" s="573"/>
      <c r="F198" s="1135"/>
      <c r="G198" s="1125">
        <f t="shared" si="20"/>
        <v>-4.052933493498827</v>
      </c>
      <c r="H198" s="572">
        <f t="shared" si="21"/>
        <v>-0.4390677951290396</v>
      </c>
      <c r="I198" s="1142"/>
      <c r="J198" s="530">
        <f t="shared" si="22"/>
        <v>86.414781126274633</v>
      </c>
      <c r="K198" s="572">
        <f t="shared" si="15"/>
        <v>9.3616012886797524</v>
      </c>
      <c r="L198" s="1135"/>
      <c r="M198" s="1125">
        <f t="shared" si="23"/>
        <v>108.78879116880088</v>
      </c>
      <c r="N198" s="572">
        <f t="shared" si="17"/>
        <v>11.785452376620096</v>
      </c>
      <c r="O198" s="1145"/>
      <c r="P198" s="530">
        <f t="shared" si="24"/>
        <v>94.563350795299584</v>
      </c>
      <c r="Q198" s="572">
        <f t="shared" si="18"/>
        <v>10.244363002824121</v>
      </c>
      <c r="R198" s="1135"/>
      <c r="S198" s="1125">
        <f t="shared" si="25"/>
        <v>69.823085873776506</v>
      </c>
      <c r="T198" s="572">
        <f t="shared" si="19"/>
        <v>7.5641676363257888</v>
      </c>
      <c r="U198" s="1145"/>
      <c r="V198" s="1150"/>
      <c r="W198" s="1024"/>
      <c r="X198" s="1026"/>
      <c r="Y198" s="1059"/>
      <c r="Z198" s="1060"/>
    </row>
    <row r="199" spans="1:26">
      <c r="A199" s="1486"/>
      <c r="B199" s="1801"/>
      <c r="C199" s="1283" t="s">
        <v>588</v>
      </c>
      <c r="D199" s="1033"/>
      <c r="E199" s="573"/>
      <c r="F199" s="1134"/>
      <c r="G199" s="1125">
        <f t="shared" si="20"/>
        <v>-7.4490642007115753</v>
      </c>
      <c r="H199" s="572">
        <f t="shared" si="21"/>
        <v>-0.80698195507708737</v>
      </c>
      <c r="I199" s="1143"/>
      <c r="J199" s="530">
        <f t="shared" si="22"/>
        <v>22.66363450470341</v>
      </c>
      <c r="K199" s="572">
        <f t="shared" si="15"/>
        <v>2.4552270713428697</v>
      </c>
      <c r="L199" s="1134"/>
      <c r="M199" s="1125">
        <f t="shared" si="23"/>
        <v>30.395102627021782</v>
      </c>
      <c r="N199" s="572">
        <f t="shared" si="17"/>
        <v>3.2928027845940262</v>
      </c>
      <c r="O199" s="1146"/>
      <c r="P199" s="530">
        <f t="shared" si="24"/>
        <v>25.985556552998791</v>
      </c>
      <c r="Q199" s="572">
        <f t="shared" si="18"/>
        <v>2.8151019599082026</v>
      </c>
      <c r="R199" s="1134"/>
      <c r="S199" s="1125">
        <f t="shared" si="25"/>
        <v>17.084077247381767</v>
      </c>
      <c r="T199" s="572">
        <f t="shared" si="19"/>
        <v>1.850775035133025</v>
      </c>
      <c r="U199" s="1146"/>
      <c r="V199" s="1150"/>
      <c r="W199" s="1027"/>
      <c r="X199" s="1028"/>
      <c r="Y199" s="1061"/>
      <c r="Z199" s="1062"/>
    </row>
    <row r="200" spans="1:26">
      <c r="A200" s="1369" t="s">
        <v>835</v>
      </c>
      <c r="B200" s="1796" t="s">
        <v>809</v>
      </c>
      <c r="C200" s="1282" t="s">
        <v>9</v>
      </c>
      <c r="D200" s="1033"/>
      <c r="E200" s="573"/>
      <c r="F200" s="1135"/>
      <c r="G200" s="1144">
        <f t="shared" si="20"/>
        <v>-1.3992564120848883</v>
      </c>
      <c r="H200" s="1134">
        <f t="shared" si="21"/>
        <v>-0.15158611130919625</v>
      </c>
      <c r="I200" s="1142">
        <f>SUM(H200:H209)</f>
        <v>-3.8434517475962755</v>
      </c>
      <c r="J200" s="530">
        <f t="shared" ref="J200" si="34">R54</f>
        <v>87.681074229134936</v>
      </c>
      <c r="K200" s="572">
        <f t="shared" ref="K200" si="35">(J200/$C$167)*$C$169</f>
        <v>9.4987830414896184</v>
      </c>
      <c r="L200" s="1142">
        <f t="shared" ref="L200:U200" si="36">SUM(K200:K209)</f>
        <v>74.81282101396458</v>
      </c>
      <c r="M200" s="1125">
        <f t="shared" ref="M200" si="37">H120</f>
        <v>108.43649817193807</v>
      </c>
      <c r="N200" s="572">
        <f t="shared" ref="N200" si="38">(M200/$C$167)*$C$169</f>
        <v>11.747287301959958</v>
      </c>
      <c r="O200" s="1142">
        <f t="shared" si="36"/>
        <v>91.446988442562343</v>
      </c>
      <c r="P200" s="530">
        <f t="shared" ref="P200" si="39">M120</f>
        <v>91.142092009576643</v>
      </c>
      <c r="Q200" s="572">
        <f t="shared" ref="Q200" si="40">(P200/$C$167)*$C$169</f>
        <v>9.8737266343708026</v>
      </c>
      <c r="R200" s="1142">
        <f t="shared" si="36"/>
        <v>75.945158452613654</v>
      </c>
      <c r="S200" s="1125">
        <f t="shared" si="25"/>
        <v>62.322493277278816</v>
      </c>
      <c r="T200" s="572">
        <f t="shared" ref="T200" si="41">(S200/$C$167)*$C$169</f>
        <v>6.7516034383718715</v>
      </c>
      <c r="U200" s="1142">
        <f t="shared" si="36"/>
        <v>50.116858567919863</v>
      </c>
      <c r="V200" s="1150"/>
      <c r="W200" s="1065">
        <f>SUM(F200,I200,L200,O200,R200,U200)</f>
        <v>288.47837472946418</v>
      </c>
      <c r="X200" s="1026"/>
      <c r="Y200" s="1057">
        <f>W200/$C$169</f>
        <v>221.90644209958782</v>
      </c>
      <c r="Z200" s="1060"/>
    </row>
    <row r="201" spans="1:26">
      <c r="A201" s="1370"/>
      <c r="B201" s="1797"/>
      <c r="C201" s="1283" t="s">
        <v>804</v>
      </c>
      <c r="D201" s="1033"/>
      <c r="E201" s="573"/>
      <c r="F201" s="1135"/>
      <c r="G201" s="1125">
        <f t="shared" si="20"/>
        <v>34.492220719146161</v>
      </c>
      <c r="H201" s="572">
        <f t="shared" si="21"/>
        <v>3.7366572445741677</v>
      </c>
      <c r="I201" s="1142"/>
      <c r="J201" s="530">
        <f t="shared" si="22"/>
        <v>345.0152995252015</v>
      </c>
      <c r="K201" s="572">
        <f t="shared" si="15"/>
        <v>37.376657448563499</v>
      </c>
      <c r="L201" s="1135"/>
      <c r="M201" s="1125">
        <f t="shared" si="23"/>
        <v>402.63317466030253</v>
      </c>
      <c r="N201" s="572">
        <f t="shared" si="17"/>
        <v>43.618593921532778</v>
      </c>
      <c r="O201" s="1145"/>
      <c r="P201" s="530">
        <f t="shared" si="24"/>
        <v>340.23565023465164</v>
      </c>
      <c r="Q201" s="572">
        <f t="shared" si="18"/>
        <v>36.858862108753932</v>
      </c>
      <c r="R201" s="1135"/>
      <c r="S201" s="1125">
        <f t="shared" si="25"/>
        <v>241.96443756242189</v>
      </c>
      <c r="T201" s="572">
        <f t="shared" si="19"/>
        <v>26.212814069262372</v>
      </c>
      <c r="U201" s="1145"/>
      <c r="V201" s="1150"/>
      <c r="W201" s="1024"/>
      <c r="X201" s="1026"/>
      <c r="Y201" s="1059"/>
      <c r="Z201" s="1060"/>
    </row>
    <row r="202" spans="1:26">
      <c r="A202" s="1370"/>
      <c r="B202" s="1797"/>
      <c r="C202" s="1283" t="s">
        <v>22</v>
      </c>
      <c r="D202" s="1033"/>
      <c r="E202" s="573"/>
      <c r="F202" s="1135"/>
      <c r="G202" s="1125">
        <f t="shared" si="20"/>
        <v>-13.410633485270441</v>
      </c>
      <c r="H202" s="572">
        <f t="shared" si="21"/>
        <v>-1.4528186275709647</v>
      </c>
      <c r="I202" s="1142"/>
      <c r="J202" s="530">
        <f t="shared" si="22"/>
        <v>-4.8468891426729179</v>
      </c>
      <c r="K202" s="572">
        <f t="shared" si="15"/>
        <v>-0.52507965712289939</v>
      </c>
      <c r="L202" s="1135"/>
      <c r="M202" s="1125">
        <f t="shared" si="23"/>
        <v>-3.6796753488894645</v>
      </c>
      <c r="N202" s="572">
        <f t="shared" si="17"/>
        <v>-0.39863149612969195</v>
      </c>
      <c r="O202" s="1145"/>
      <c r="P202" s="530">
        <f t="shared" si="24"/>
        <v>-6.7735558324446679</v>
      </c>
      <c r="Q202" s="572">
        <f t="shared" si="18"/>
        <v>-0.73380188184817241</v>
      </c>
      <c r="R202" s="1135"/>
      <c r="S202" s="1125">
        <f t="shared" si="25"/>
        <v>-13.460093479576937</v>
      </c>
      <c r="T202" s="572">
        <f t="shared" si="19"/>
        <v>-1.458176793620835</v>
      </c>
      <c r="U202" s="1145"/>
      <c r="V202" s="1150"/>
      <c r="W202" s="1024"/>
      <c r="X202" s="1026"/>
      <c r="Y202" s="1059"/>
      <c r="Z202" s="1060"/>
    </row>
    <row r="203" spans="1:26">
      <c r="A203" s="1370"/>
      <c r="B203" s="1797"/>
      <c r="C203" s="1283" t="s">
        <v>803</v>
      </c>
      <c r="D203" s="1033"/>
      <c r="E203" s="573"/>
      <c r="F203" s="1135"/>
      <c r="G203" s="1125">
        <f t="shared" si="20"/>
        <v>-0.54830088251623632</v>
      </c>
      <c r="H203" s="572">
        <f t="shared" si="21"/>
        <v>-5.9399262272592269E-2</v>
      </c>
      <c r="I203" s="1142"/>
      <c r="J203" s="530">
        <f t="shared" si="22"/>
        <v>18.754806713510281</v>
      </c>
      <c r="K203" s="572">
        <f t="shared" si="15"/>
        <v>2.031770727296947</v>
      </c>
      <c r="L203" s="1135"/>
      <c r="M203" s="1125">
        <f t="shared" si="23"/>
        <v>23.051084379336057</v>
      </c>
      <c r="N203" s="572">
        <f t="shared" si="17"/>
        <v>2.4972008077614061</v>
      </c>
      <c r="O203" s="1145"/>
      <c r="P203" s="530">
        <f t="shared" si="24"/>
        <v>18.7035424047608</v>
      </c>
      <c r="Q203" s="572">
        <f t="shared" si="18"/>
        <v>2.0262170938490867</v>
      </c>
      <c r="R203" s="1135"/>
      <c r="S203" s="1125">
        <f t="shared" si="25"/>
        <v>12.340363662797163</v>
      </c>
      <c r="T203" s="572">
        <f t="shared" si="19"/>
        <v>1.3368727301363594</v>
      </c>
      <c r="U203" s="1145"/>
      <c r="V203" s="1150"/>
      <c r="W203" s="1024"/>
      <c r="X203" s="1026"/>
      <c r="Y203" s="1059"/>
      <c r="Z203" s="1060"/>
    </row>
    <row r="204" spans="1:26">
      <c r="A204" s="1370"/>
      <c r="B204" s="1797"/>
      <c r="C204" s="1283" t="s">
        <v>802</v>
      </c>
      <c r="D204" s="1033"/>
      <c r="E204" s="573"/>
      <c r="F204" s="1135"/>
      <c r="G204" s="1125">
        <f t="shared" si="20"/>
        <v>-12.983403418424039</v>
      </c>
      <c r="H204" s="572">
        <f t="shared" si="21"/>
        <v>-1.4065353703292709</v>
      </c>
      <c r="I204" s="1142"/>
      <c r="J204" s="530">
        <f t="shared" si="22"/>
        <v>29.245230646345426</v>
      </c>
      <c r="K204" s="572">
        <f t="shared" si="15"/>
        <v>3.1682333200207546</v>
      </c>
      <c r="L204" s="1135"/>
      <c r="M204" s="1125">
        <f t="shared" si="23"/>
        <v>40.205665142428821</v>
      </c>
      <c r="N204" s="572">
        <f t="shared" si="17"/>
        <v>4.3556137237631223</v>
      </c>
      <c r="O204" s="1145"/>
      <c r="P204" s="530">
        <f t="shared" si="24"/>
        <v>34.157299259764642</v>
      </c>
      <c r="Q204" s="572">
        <f t="shared" si="18"/>
        <v>3.7003740864745027</v>
      </c>
      <c r="R204" s="1135"/>
      <c r="S204" s="1125">
        <f t="shared" si="25"/>
        <v>21.397048493462471</v>
      </c>
      <c r="T204" s="572">
        <f t="shared" si="19"/>
        <v>2.3180135867917677</v>
      </c>
      <c r="U204" s="1145"/>
      <c r="V204" s="1150"/>
      <c r="W204" s="1024"/>
      <c r="X204" s="1026"/>
      <c r="Y204" s="1059"/>
      <c r="Z204" s="1060"/>
    </row>
    <row r="205" spans="1:26">
      <c r="A205" s="1370"/>
      <c r="B205" s="1797"/>
      <c r="C205" s="1283" t="s">
        <v>587</v>
      </c>
      <c r="D205" s="1033"/>
      <c r="E205" s="573"/>
      <c r="F205" s="1135"/>
      <c r="G205" s="1125">
        <f t="shared" si="20"/>
        <v>0.28196931849427287</v>
      </c>
      <c r="H205" s="572">
        <f t="shared" si="21"/>
        <v>3.0546676170212894E-2</v>
      </c>
      <c r="I205" s="1142"/>
      <c r="J205" s="530">
        <f t="shared" si="22"/>
        <v>51.334832542296738</v>
      </c>
      <c r="K205" s="572">
        <f t="shared" si="15"/>
        <v>5.5612735254154799</v>
      </c>
      <c r="L205" s="1135"/>
      <c r="M205" s="1125">
        <f t="shared" si="23"/>
        <v>62.28275860994458</v>
      </c>
      <c r="N205" s="572">
        <f t="shared" si="17"/>
        <v>6.7472988494106625</v>
      </c>
      <c r="O205" s="1145"/>
      <c r="P205" s="530">
        <f t="shared" si="24"/>
        <v>51.67406096554766</v>
      </c>
      <c r="Q205" s="572">
        <f t="shared" si="18"/>
        <v>5.5980232712676639</v>
      </c>
      <c r="R205" s="1135"/>
      <c r="S205" s="1125">
        <f t="shared" si="25"/>
        <v>35.070315531473334</v>
      </c>
      <c r="T205" s="572">
        <f t="shared" si="19"/>
        <v>3.7992841825762778</v>
      </c>
      <c r="U205" s="1145"/>
      <c r="V205" s="1150"/>
      <c r="W205" s="1024"/>
      <c r="X205" s="1026"/>
      <c r="Y205" s="1059"/>
      <c r="Z205" s="1060"/>
    </row>
    <row r="206" spans="1:26">
      <c r="A206" s="1370"/>
      <c r="B206" s="1797"/>
      <c r="C206" s="1283" t="s">
        <v>20</v>
      </c>
      <c r="D206" s="1033"/>
      <c r="E206" s="573"/>
      <c r="F206" s="1135"/>
      <c r="G206" s="1125">
        <f t="shared" si="20"/>
        <v>-11.69116889744727</v>
      </c>
      <c r="H206" s="572">
        <f t="shared" si="21"/>
        <v>-1.2665432972234543</v>
      </c>
      <c r="I206" s="1142"/>
      <c r="J206" s="530">
        <f t="shared" si="22"/>
        <v>77.826337744643283</v>
      </c>
      <c r="K206" s="572">
        <f t="shared" si="15"/>
        <v>8.4311865890030226</v>
      </c>
      <c r="L206" s="1135"/>
      <c r="M206" s="1125">
        <f t="shared" si="23"/>
        <v>96.749543443301803</v>
      </c>
      <c r="N206" s="572">
        <f t="shared" si="17"/>
        <v>10.481200539691029</v>
      </c>
      <c r="O206" s="1145"/>
      <c r="P206" s="530">
        <f t="shared" si="24"/>
        <v>76.908602604566681</v>
      </c>
      <c r="Q206" s="572">
        <f t="shared" si="18"/>
        <v>8.3317652821613901</v>
      </c>
      <c r="R206" s="1135"/>
      <c r="S206" s="1125">
        <f t="shared" si="25"/>
        <v>44.635273198377391</v>
      </c>
      <c r="T206" s="572">
        <f t="shared" si="19"/>
        <v>4.8354879298242173</v>
      </c>
      <c r="U206" s="1145"/>
      <c r="V206" s="1150"/>
      <c r="W206" s="1024"/>
      <c r="X206" s="1026"/>
      <c r="Y206" s="1059"/>
      <c r="Z206" s="1060"/>
    </row>
    <row r="207" spans="1:26">
      <c r="A207" s="1370"/>
      <c r="B207" s="1797"/>
      <c r="C207" s="1283" t="s">
        <v>586</v>
      </c>
      <c r="D207" s="1033"/>
      <c r="E207" s="573"/>
      <c r="F207" s="1135"/>
      <c r="G207" s="1125">
        <f t="shared" si="20"/>
        <v>-0.46976537934509111</v>
      </c>
      <c r="H207" s="572">
        <f t="shared" si="21"/>
        <v>-5.0891249429051537E-2</v>
      </c>
      <c r="I207" s="1142"/>
      <c r="J207" s="530">
        <f t="shared" si="22"/>
        <v>46.04823119331256</v>
      </c>
      <c r="K207" s="572">
        <f t="shared" si="15"/>
        <v>4.9885583792755277</v>
      </c>
      <c r="L207" s="1135"/>
      <c r="M207" s="1125">
        <f t="shared" si="23"/>
        <v>56.553139507928826</v>
      </c>
      <c r="N207" s="572">
        <f t="shared" si="17"/>
        <v>6.1265901133589562</v>
      </c>
      <c r="O207" s="1145"/>
      <c r="P207" s="530">
        <f t="shared" si="24"/>
        <v>46.561277675558102</v>
      </c>
      <c r="Q207" s="572">
        <f t="shared" si="18"/>
        <v>5.044138414852128</v>
      </c>
      <c r="R207" s="1135"/>
      <c r="S207" s="1125">
        <f t="shared" si="25"/>
        <v>31.779149844175588</v>
      </c>
      <c r="T207" s="572">
        <f t="shared" si="19"/>
        <v>3.4427412331190226</v>
      </c>
      <c r="U207" s="1145"/>
      <c r="V207" s="1150"/>
      <c r="W207" s="1024"/>
      <c r="X207" s="1026"/>
      <c r="Y207" s="1059"/>
      <c r="Z207" s="1060"/>
    </row>
    <row r="208" spans="1:26">
      <c r="A208" s="1370"/>
      <c r="B208" s="1797"/>
      <c r="C208" s="1283" t="s">
        <v>19</v>
      </c>
      <c r="D208" s="1033"/>
      <c r="E208" s="573"/>
      <c r="F208" s="1135"/>
      <c r="G208" s="1125">
        <f t="shared" si="20"/>
        <v>-16.206173493498824</v>
      </c>
      <c r="H208" s="572">
        <f t="shared" si="21"/>
        <v>-1.7556687951290393</v>
      </c>
      <c r="I208" s="1142"/>
      <c r="J208" s="530">
        <f t="shared" si="22"/>
        <v>40.088430726274623</v>
      </c>
      <c r="K208" s="572">
        <f t="shared" si="15"/>
        <v>4.3429133286797512</v>
      </c>
      <c r="L208" s="1135"/>
      <c r="M208" s="1125">
        <f t="shared" si="23"/>
        <v>54.648357568800904</v>
      </c>
      <c r="N208" s="572">
        <f t="shared" si="17"/>
        <v>5.9202387366200986</v>
      </c>
      <c r="O208" s="1145"/>
      <c r="P208" s="530">
        <f t="shared" si="24"/>
        <v>46.526544395299588</v>
      </c>
      <c r="Q208" s="572">
        <f t="shared" si="18"/>
        <v>5.040375642824122</v>
      </c>
      <c r="R208" s="1135"/>
      <c r="S208" s="1125">
        <f t="shared" si="25"/>
        <v>29.636372273776509</v>
      </c>
      <c r="T208" s="572">
        <f t="shared" si="19"/>
        <v>3.2106069963257884</v>
      </c>
      <c r="U208" s="1145"/>
      <c r="V208" s="1150"/>
      <c r="W208" s="1024"/>
      <c r="X208" s="1026"/>
      <c r="Y208" s="1059"/>
      <c r="Z208" s="1060"/>
    </row>
    <row r="209" spans="1:26">
      <c r="A209" s="1370"/>
      <c r="B209" s="1798"/>
      <c r="C209" s="1283" t="s">
        <v>588</v>
      </c>
      <c r="D209" s="1033"/>
      <c r="E209" s="573"/>
      <c r="F209" s="1135"/>
      <c r="G209" s="1147">
        <f t="shared" si="20"/>
        <v>-13.543504200711574</v>
      </c>
      <c r="H209" s="573">
        <f t="shared" si="21"/>
        <v>-1.4672129550770872</v>
      </c>
      <c r="I209" s="1142"/>
      <c r="J209" s="530">
        <f t="shared" si="22"/>
        <v>-0.5674678952965877</v>
      </c>
      <c r="K209" s="572">
        <f t="shared" si="15"/>
        <v>-6.1475688657130337E-2</v>
      </c>
      <c r="L209" s="1135"/>
      <c r="M209" s="1125">
        <f t="shared" si="23"/>
        <v>3.2455010270217954</v>
      </c>
      <c r="N209" s="572">
        <f t="shared" si="17"/>
        <v>0.35159594459402782</v>
      </c>
      <c r="O209" s="1145"/>
      <c r="P209" s="530">
        <f t="shared" si="24"/>
        <v>1.8967181529987975</v>
      </c>
      <c r="Q209" s="572">
        <f t="shared" si="18"/>
        <v>0.20547779990820306</v>
      </c>
      <c r="R209" s="1135"/>
      <c r="S209" s="1125">
        <f t="shared" si="25"/>
        <v>-3.0682043526182206</v>
      </c>
      <c r="T209" s="572">
        <f t="shared" si="19"/>
        <v>-0.33238880486697386</v>
      </c>
      <c r="U209" s="1145"/>
      <c r="V209" s="1150"/>
      <c r="W209" s="1024"/>
      <c r="X209" s="1026"/>
      <c r="Y209" s="1059"/>
      <c r="Z209" s="1060"/>
    </row>
    <row r="210" spans="1:26">
      <c r="A210" s="1370"/>
      <c r="B210" s="1799" t="s">
        <v>810</v>
      </c>
      <c r="C210" s="1282" t="s">
        <v>9</v>
      </c>
      <c r="D210" s="1033"/>
      <c r="E210" s="573"/>
      <c r="F210" s="573"/>
      <c r="G210" s="1125">
        <f t="shared" si="20"/>
        <v>-7.3689506540880743</v>
      </c>
      <c r="H210" s="572">
        <f t="shared" si="21"/>
        <v>-0.79830298752620799</v>
      </c>
      <c r="I210" s="1141">
        <f>SUM(H210:H219)</f>
        <v>-10.323893707214939</v>
      </c>
      <c r="J210" s="530">
        <f t="shared" ref="J210" si="42">R64</f>
        <v>81.566924964888074</v>
      </c>
      <c r="K210" s="572">
        <f t="shared" ref="K210" si="43">(J210/$C$167)*$C$169</f>
        <v>8.8364168711962083</v>
      </c>
      <c r="L210" s="1141">
        <f t="shared" ref="L210:U210" si="44">SUM(K210:K219)</f>
        <v>68.287154768127806</v>
      </c>
      <c r="M210" s="1125">
        <f t="shared" ref="M210" si="45">H130</f>
        <v>101.56772121158596</v>
      </c>
      <c r="N210" s="572">
        <f t="shared" ref="N210" si="46">(M210/$C$167)*$C$169</f>
        <v>11.003169797921812</v>
      </c>
      <c r="O210" s="1141">
        <f t="shared" si="44"/>
        <v>80.840473322919337</v>
      </c>
      <c r="P210" s="530">
        <f t="shared" ref="P210" si="47">M130</f>
        <v>85.929798129079785</v>
      </c>
      <c r="Q210" s="572">
        <f t="shared" ref="Q210" si="48">(P210/$C$167)*$C$169</f>
        <v>9.3090614639836442</v>
      </c>
      <c r="R210" s="1141">
        <f t="shared" si="44"/>
        <v>66.788579153440054</v>
      </c>
      <c r="S210" s="1125">
        <f t="shared" si="25"/>
        <v>60.077284493734325</v>
      </c>
      <c r="T210" s="572">
        <f t="shared" ref="T210" si="49">(S210/$C$167)*$C$169</f>
        <v>6.5083724868212194</v>
      </c>
      <c r="U210" s="1141">
        <f t="shared" si="44"/>
        <v>43.279577899815813</v>
      </c>
      <c r="V210" s="1150"/>
      <c r="W210" s="1065">
        <f>SUM(F210,I210,L210,O210,R210,U210)</f>
        <v>248.87189143708807</v>
      </c>
      <c r="X210" s="1023"/>
      <c r="Y210" s="1057">
        <f>W210/$C$169</f>
        <v>191.43991649006773</v>
      </c>
      <c r="Z210" s="1058"/>
    </row>
    <row r="211" spans="1:26">
      <c r="A211" s="1370"/>
      <c r="B211" s="1800"/>
      <c r="C211" s="1283" t="s">
        <v>804</v>
      </c>
      <c r="D211" s="1033"/>
      <c r="E211" s="573"/>
      <c r="F211" s="1135"/>
      <c r="G211" s="1125">
        <f t="shared" si="20"/>
        <v>30.535423631838555</v>
      </c>
      <c r="H211" s="572">
        <f t="shared" si="21"/>
        <v>3.3080042267825105</v>
      </c>
      <c r="I211" s="1142"/>
      <c r="J211" s="530">
        <f t="shared" si="22"/>
        <v>341.36255260158612</v>
      </c>
      <c r="K211" s="572">
        <f t="shared" si="15"/>
        <v>36.980943198505166</v>
      </c>
      <c r="L211" s="1135"/>
      <c r="M211" s="1125">
        <f t="shared" si="23"/>
        <v>390.87307623186666</v>
      </c>
      <c r="N211" s="572">
        <f t="shared" si="17"/>
        <v>42.344583258452218</v>
      </c>
      <c r="O211" s="1145"/>
      <c r="P211" s="530">
        <f t="shared" si="24"/>
        <v>337.36144835276525</v>
      </c>
      <c r="Q211" s="572">
        <f t="shared" si="18"/>
        <v>36.547490238216234</v>
      </c>
      <c r="R211" s="1135"/>
      <c r="S211" s="1125">
        <f t="shared" si="25"/>
        <v>255.18860116786203</v>
      </c>
      <c r="T211" s="572">
        <f t="shared" si="19"/>
        <v>27.645431793185058</v>
      </c>
      <c r="U211" s="1145"/>
      <c r="V211" s="1150"/>
      <c r="W211" s="1024"/>
      <c r="X211" s="1026"/>
      <c r="Y211" s="1059"/>
      <c r="Z211" s="1060"/>
    </row>
    <row r="212" spans="1:26">
      <c r="A212" s="1370"/>
      <c r="B212" s="1800"/>
      <c r="C212" s="1283" t="s">
        <v>22</v>
      </c>
      <c r="D212" s="1033"/>
      <c r="E212" s="573"/>
      <c r="F212" s="1135"/>
      <c r="G212" s="1125">
        <f t="shared" si="20"/>
        <v>-13.410633485270441</v>
      </c>
      <c r="H212" s="572">
        <f t="shared" si="21"/>
        <v>-1.4528186275709647</v>
      </c>
      <c r="I212" s="1142"/>
      <c r="J212" s="530">
        <f t="shared" si="22"/>
        <v>-4.8468891426729179</v>
      </c>
      <c r="K212" s="572">
        <f t="shared" si="15"/>
        <v>-0.52507965712289939</v>
      </c>
      <c r="L212" s="1135"/>
      <c r="M212" s="1125">
        <f t="shared" si="23"/>
        <v>-3.6796753488894645</v>
      </c>
      <c r="N212" s="572">
        <f t="shared" si="17"/>
        <v>-0.39863149612969195</v>
      </c>
      <c r="O212" s="1145"/>
      <c r="P212" s="530">
        <f t="shared" si="24"/>
        <v>-6.7735558324446679</v>
      </c>
      <c r="Q212" s="572">
        <f t="shared" si="18"/>
        <v>-0.73380188184817241</v>
      </c>
      <c r="R212" s="1135"/>
      <c r="S212" s="1125">
        <f t="shared" si="25"/>
        <v>-13.460093479576937</v>
      </c>
      <c r="T212" s="572">
        <f t="shared" si="19"/>
        <v>-1.458176793620835</v>
      </c>
      <c r="U212" s="1145"/>
      <c r="V212" s="1150"/>
      <c r="W212" s="1024"/>
      <c r="X212" s="1026"/>
      <c r="Y212" s="1059"/>
      <c r="Z212" s="1060"/>
    </row>
    <row r="213" spans="1:26">
      <c r="A213" s="1370"/>
      <c r="B213" s="1800"/>
      <c r="C213" s="1283" t="s">
        <v>803</v>
      </c>
      <c r="D213" s="1033"/>
      <c r="E213" s="573"/>
      <c r="F213" s="1135"/>
      <c r="G213" s="1125">
        <f t="shared" si="20"/>
        <v>2.5127840141877051</v>
      </c>
      <c r="H213" s="572">
        <f t="shared" si="21"/>
        <v>0.27221826820366807</v>
      </c>
      <c r="I213" s="1142"/>
      <c r="J213" s="530">
        <f t="shared" si="22"/>
        <v>21.762720625429314</v>
      </c>
      <c r="K213" s="572">
        <f t="shared" si="15"/>
        <v>2.3576280677548427</v>
      </c>
      <c r="L213" s="1135"/>
      <c r="M213" s="1125">
        <f t="shared" si="23"/>
        <v>3.2381137917001226</v>
      </c>
      <c r="N213" s="572">
        <f t="shared" si="17"/>
        <v>0.35079566076751328</v>
      </c>
      <c r="O213" s="1145"/>
      <c r="P213" s="530">
        <f t="shared" si="24"/>
        <v>-0.39977519184481736</v>
      </c>
      <c r="Q213" s="572">
        <f t="shared" si="18"/>
        <v>-4.3308979116521887E-2</v>
      </c>
      <c r="R213" s="1135"/>
      <c r="S213" s="1125">
        <f t="shared" si="25"/>
        <v>-6.1776012910836258</v>
      </c>
      <c r="T213" s="572">
        <f t="shared" si="19"/>
        <v>-0.66924013986739284</v>
      </c>
      <c r="U213" s="1145"/>
      <c r="V213" s="1150"/>
      <c r="W213" s="1024"/>
      <c r="X213" s="1026"/>
      <c r="Y213" s="1059"/>
      <c r="Z213" s="1060"/>
    </row>
    <row r="214" spans="1:26">
      <c r="A214" s="1370"/>
      <c r="B214" s="1800"/>
      <c r="C214" s="1283" t="s">
        <v>802</v>
      </c>
      <c r="D214" s="1033"/>
      <c r="E214" s="573"/>
      <c r="F214" s="1135"/>
      <c r="G214" s="1125">
        <f t="shared" si="20"/>
        <v>-12.983403418424039</v>
      </c>
      <c r="H214" s="572">
        <f t="shared" si="21"/>
        <v>-1.4065353703292709</v>
      </c>
      <c r="I214" s="1142"/>
      <c r="J214" s="530">
        <f t="shared" si="22"/>
        <v>29.245230646345426</v>
      </c>
      <c r="K214" s="572">
        <f t="shared" si="15"/>
        <v>3.1682333200207546</v>
      </c>
      <c r="L214" s="1135"/>
      <c r="M214" s="1125">
        <f t="shared" si="23"/>
        <v>40.205665142428821</v>
      </c>
      <c r="N214" s="572">
        <f t="shared" si="17"/>
        <v>4.3556137237631223</v>
      </c>
      <c r="O214" s="1145"/>
      <c r="P214" s="530">
        <f t="shared" si="24"/>
        <v>34.157299259764642</v>
      </c>
      <c r="Q214" s="572">
        <f t="shared" si="18"/>
        <v>3.7003740864745027</v>
      </c>
      <c r="R214" s="1135"/>
      <c r="S214" s="1125">
        <f t="shared" si="25"/>
        <v>21.397048493462471</v>
      </c>
      <c r="T214" s="572">
        <f t="shared" si="19"/>
        <v>2.3180135867917677</v>
      </c>
      <c r="U214" s="1145"/>
      <c r="V214" s="1150"/>
      <c r="W214" s="1024"/>
      <c r="X214" s="1026"/>
      <c r="Y214" s="1059"/>
      <c r="Z214" s="1060"/>
    </row>
    <row r="215" spans="1:26">
      <c r="A215" s="1370"/>
      <c r="B215" s="1800"/>
      <c r="C215" s="1283" t="s">
        <v>587</v>
      </c>
      <c r="D215" s="1033"/>
      <c r="E215" s="573"/>
      <c r="F215" s="1135"/>
      <c r="G215" s="1125">
        <f t="shared" si="20"/>
        <v>0.28196931849427287</v>
      </c>
      <c r="H215" s="572">
        <f t="shared" si="21"/>
        <v>3.0546676170212894E-2</v>
      </c>
      <c r="I215" s="1142"/>
      <c r="J215" s="530">
        <f t="shared" si="22"/>
        <v>51.334832542296738</v>
      </c>
      <c r="K215" s="572">
        <f t="shared" si="15"/>
        <v>5.5612735254154799</v>
      </c>
      <c r="L215" s="1135"/>
      <c r="M215" s="1125">
        <f t="shared" si="23"/>
        <v>62.28275860994458</v>
      </c>
      <c r="N215" s="572">
        <f t="shared" si="17"/>
        <v>6.7472988494106625</v>
      </c>
      <c r="O215" s="1145"/>
      <c r="P215" s="530">
        <f t="shared" si="24"/>
        <v>51.67406096554766</v>
      </c>
      <c r="Q215" s="572">
        <f t="shared" si="18"/>
        <v>5.5980232712676639</v>
      </c>
      <c r="R215" s="1135"/>
      <c r="S215" s="1125">
        <f t="shared" si="25"/>
        <v>35.070315531473334</v>
      </c>
      <c r="T215" s="572">
        <f t="shared" si="19"/>
        <v>3.7992841825762778</v>
      </c>
      <c r="U215" s="1145"/>
      <c r="V215" s="1150"/>
      <c r="W215" s="1024"/>
      <c r="X215" s="1026"/>
      <c r="Y215" s="1059"/>
      <c r="Z215" s="1060"/>
    </row>
    <row r="216" spans="1:26">
      <c r="A216" s="1370"/>
      <c r="B216" s="1800"/>
      <c r="C216" s="1283" t="s">
        <v>20</v>
      </c>
      <c r="D216" s="1033"/>
      <c r="E216" s="573"/>
      <c r="F216" s="1135"/>
      <c r="G216" s="1125">
        <f t="shared" si="20"/>
        <v>-29.368778869919183</v>
      </c>
      <c r="H216" s="572">
        <f t="shared" si="21"/>
        <v>-3.1816177109079118</v>
      </c>
      <c r="I216" s="1142"/>
      <c r="J216" s="530">
        <f t="shared" si="22"/>
        <v>59.973801133276737</v>
      </c>
      <c r="K216" s="572">
        <f t="shared" si="15"/>
        <v>6.497161789438314</v>
      </c>
      <c r="L216" s="1135"/>
      <c r="M216" s="1125">
        <f t="shared" si="23"/>
        <v>76.898877338738302</v>
      </c>
      <c r="N216" s="572">
        <f t="shared" si="17"/>
        <v>8.3307117116966509</v>
      </c>
      <c r="O216" s="1145"/>
      <c r="P216" s="530">
        <f t="shared" si="24"/>
        <v>57.769903108190306</v>
      </c>
      <c r="Q216" s="572">
        <f t="shared" si="18"/>
        <v>6.2584061700539495</v>
      </c>
      <c r="R216" s="1135"/>
      <c r="S216" s="1125">
        <f t="shared" si="25"/>
        <v>26.084244564677817</v>
      </c>
      <c r="T216" s="572">
        <f t="shared" si="19"/>
        <v>2.8257931611734302</v>
      </c>
      <c r="U216" s="1145"/>
      <c r="V216" s="1150"/>
      <c r="W216" s="1024"/>
      <c r="X216" s="1026"/>
      <c r="Y216" s="1059"/>
      <c r="Z216" s="1060"/>
    </row>
    <row r="217" spans="1:26">
      <c r="A217" s="1370"/>
      <c r="B217" s="1800"/>
      <c r="C217" s="1283" t="s">
        <v>586</v>
      </c>
      <c r="D217" s="1033"/>
      <c r="E217" s="573"/>
      <c r="F217" s="1135"/>
      <c r="G217" s="1125">
        <f t="shared" si="20"/>
        <v>-35.746213216900131</v>
      </c>
      <c r="H217" s="572">
        <f t="shared" si="21"/>
        <v>-3.8725064318308475</v>
      </c>
      <c r="I217" s="1142"/>
      <c r="J217" s="530">
        <f t="shared" si="22"/>
        <v>10.422830888282803</v>
      </c>
      <c r="K217" s="572">
        <f t="shared" si="15"/>
        <v>1.1291400128973037</v>
      </c>
      <c r="L217" s="1142"/>
      <c r="M217" s="1125">
        <f t="shared" si="23"/>
        <v>16.939358176827135</v>
      </c>
      <c r="N217" s="572">
        <f t="shared" si="17"/>
        <v>1.8350971358229395</v>
      </c>
      <c r="O217" s="1142"/>
      <c r="P217" s="530">
        <f t="shared" si="24"/>
        <v>8.3675200770131539</v>
      </c>
      <c r="Q217" s="572">
        <f t="shared" si="18"/>
        <v>0.90648134167642513</v>
      </c>
      <c r="R217" s="1135"/>
      <c r="S217" s="1125">
        <f t="shared" si="25"/>
        <v>-5.2441714034079112</v>
      </c>
      <c r="T217" s="572">
        <f t="shared" si="19"/>
        <v>-0.56811856870252375</v>
      </c>
      <c r="U217" s="1145"/>
      <c r="V217" s="1150"/>
      <c r="W217" s="1024"/>
      <c r="X217" s="1026"/>
      <c r="Y217" s="1059"/>
      <c r="Z217" s="1060"/>
    </row>
    <row r="218" spans="1:26" ht="15" customHeight="1">
      <c r="A218" s="1370"/>
      <c r="B218" s="1800"/>
      <c r="C218" s="1283" t="s">
        <v>19</v>
      </c>
      <c r="D218" s="1033"/>
      <c r="E218" s="573"/>
      <c r="F218" s="1135"/>
      <c r="G218" s="1125">
        <f t="shared" si="20"/>
        <v>-16.206173493498824</v>
      </c>
      <c r="H218" s="572">
        <f t="shared" si="21"/>
        <v>-1.7556687951290393</v>
      </c>
      <c r="I218" s="1142"/>
      <c r="J218" s="530">
        <f t="shared" si="22"/>
        <v>40.088430726274623</v>
      </c>
      <c r="K218" s="572">
        <f t="shared" si="15"/>
        <v>4.3429133286797512</v>
      </c>
      <c r="L218" s="1142"/>
      <c r="M218" s="1125">
        <f t="shared" si="23"/>
        <v>54.648357568800904</v>
      </c>
      <c r="N218" s="572">
        <f t="shared" si="17"/>
        <v>5.9202387366200986</v>
      </c>
      <c r="O218" s="1142"/>
      <c r="P218" s="530">
        <f t="shared" si="24"/>
        <v>46.526544395299588</v>
      </c>
      <c r="Q218" s="572">
        <f t="shared" si="18"/>
        <v>5.040375642824122</v>
      </c>
      <c r="R218" s="1135"/>
      <c r="S218" s="1125">
        <f t="shared" si="25"/>
        <v>29.636372273776509</v>
      </c>
      <c r="T218" s="572">
        <f t="shared" si="19"/>
        <v>3.2106069963257884</v>
      </c>
      <c r="U218" s="1145"/>
      <c r="V218" s="1150"/>
      <c r="W218" s="1132"/>
      <c r="X218" s="1026"/>
      <c r="Y218" s="1059"/>
      <c r="Z218" s="1060"/>
    </row>
    <row r="219" spans="1:26">
      <c r="A219" s="1371"/>
      <c r="B219" s="1801"/>
      <c r="C219" s="1283" t="s">
        <v>588</v>
      </c>
      <c r="D219" s="1033"/>
      <c r="E219" s="573"/>
      <c r="F219" s="1134"/>
      <c r="G219" s="1125">
        <f t="shared" si="20"/>
        <v>-13.543504200711574</v>
      </c>
      <c r="H219" s="572">
        <f t="shared" si="21"/>
        <v>-1.4672129550770872</v>
      </c>
      <c r="I219" s="1143"/>
      <c r="J219" s="530">
        <f t="shared" si="22"/>
        <v>-0.5674678952965877</v>
      </c>
      <c r="K219" s="572">
        <f t="shared" si="15"/>
        <v>-6.1475688657130337E-2</v>
      </c>
      <c r="L219" s="1134"/>
      <c r="M219" s="1125">
        <f t="shared" si="23"/>
        <v>3.2455010270217954</v>
      </c>
      <c r="N219" s="572">
        <f t="shared" si="17"/>
        <v>0.35159594459402782</v>
      </c>
      <c r="O219" s="1146"/>
      <c r="P219" s="530">
        <f t="shared" si="24"/>
        <v>1.8967181529987975</v>
      </c>
      <c r="Q219" s="572">
        <f t="shared" si="18"/>
        <v>0.20547779990820306</v>
      </c>
      <c r="R219" s="1134"/>
      <c r="S219" s="1125">
        <f t="shared" si="25"/>
        <v>-3.0682043526182206</v>
      </c>
      <c r="T219" s="572">
        <f t="shared" si="19"/>
        <v>-0.33238880486697386</v>
      </c>
      <c r="U219" s="1146"/>
      <c r="V219" s="1150"/>
      <c r="W219" s="1148"/>
      <c r="X219" s="1028"/>
      <c r="Y219" s="1061"/>
      <c r="Z219" s="1062"/>
    </row>
    <row r="220" spans="1:26">
      <c r="A220" s="1377" t="s">
        <v>857</v>
      </c>
      <c r="B220" s="1802" t="s">
        <v>809</v>
      </c>
      <c r="C220" s="1282" t="s">
        <v>9</v>
      </c>
      <c r="D220" s="1033"/>
      <c r="E220" s="573"/>
      <c r="F220" s="1135"/>
      <c r="G220" s="1144">
        <f t="shared" si="20"/>
        <v>9.7342408239901062</v>
      </c>
      <c r="H220" s="1134">
        <f t="shared" si="21"/>
        <v>1.0545427559322615</v>
      </c>
      <c r="I220" s="1142">
        <f>SUM(H220:H229)</f>
        <v>6.971220164030469</v>
      </c>
      <c r="J220" s="530">
        <f t="shared" ref="J220" si="50">R74</f>
        <v>115.7835979565445</v>
      </c>
      <c r="K220" s="572">
        <f t="shared" ref="K220" si="51">(J220/$C$167)*$C$169</f>
        <v>12.543223111958987</v>
      </c>
      <c r="L220" s="1142">
        <f t="shared" ref="L220:U220" si="52">SUM(K220:K229)</f>
        <v>102.45843517121538</v>
      </c>
      <c r="M220" s="1125">
        <f t="shared" ref="M220" si="53">H140</f>
        <v>141.09594005410409</v>
      </c>
      <c r="N220" s="572">
        <f t="shared" ref="N220" si="54">(M220/$C$167)*$C$169</f>
        <v>15.285393505861276</v>
      </c>
      <c r="O220" s="1142">
        <f t="shared" si="52"/>
        <v>125.18966212873207</v>
      </c>
      <c r="P220" s="530">
        <f t="shared" ref="P220" si="55">M140</f>
        <v>123.00029690614053</v>
      </c>
      <c r="Q220" s="572">
        <f t="shared" ref="Q220" si="56">(P220/$C$167)*$C$169</f>
        <v>13.325032164831891</v>
      </c>
      <c r="R220" s="1142">
        <f t="shared" si="52"/>
        <v>108.92569156351773</v>
      </c>
      <c r="S220" s="1125">
        <f t="shared" si="25"/>
        <v>94.610622589457222</v>
      </c>
      <c r="T220" s="572">
        <f t="shared" ref="T220" si="57">(S220/$C$167)*$C$169</f>
        <v>10.249484113857866</v>
      </c>
      <c r="U220" s="1142">
        <f t="shared" si="52"/>
        <v>83.210145070140484</v>
      </c>
      <c r="V220" s="1150"/>
      <c r="W220" s="1065">
        <f>SUM(F220,I220,L220,O220,R220,U220)</f>
        <v>426.75515409763614</v>
      </c>
      <c r="X220" s="1026"/>
      <c r="Y220" s="1057">
        <f>W220/$C$169</f>
        <v>328.27319545972011</v>
      </c>
      <c r="Z220" s="1060"/>
    </row>
    <row r="221" spans="1:26">
      <c r="A221" s="1377"/>
      <c r="B221" s="1802"/>
      <c r="C221" s="1283" t="s">
        <v>804</v>
      </c>
      <c r="D221" s="1033"/>
      <c r="E221" s="573"/>
      <c r="F221" s="1135"/>
      <c r="G221" s="1125">
        <f t="shared" si="20"/>
        <v>53.733990618658524</v>
      </c>
      <c r="H221" s="572">
        <f t="shared" si="21"/>
        <v>5.8211823170213401</v>
      </c>
      <c r="I221" s="1142"/>
      <c r="J221" s="530">
        <f t="shared" si="22"/>
        <v>408.37395008693181</v>
      </c>
      <c r="K221" s="572">
        <f t="shared" si="15"/>
        <v>44.240511259417616</v>
      </c>
      <c r="L221" s="1135"/>
      <c r="M221" s="1125">
        <f t="shared" si="23"/>
        <v>491.98719226363141</v>
      </c>
      <c r="N221" s="572">
        <f t="shared" si="17"/>
        <v>53.298612495226742</v>
      </c>
      <c r="O221" s="1145"/>
      <c r="P221" s="530">
        <f t="shared" si="24"/>
        <v>430.17219078294113</v>
      </c>
      <c r="Q221" s="572">
        <f t="shared" si="18"/>
        <v>46.601987334818624</v>
      </c>
      <c r="R221" s="1135"/>
      <c r="S221" s="1125">
        <f t="shared" si="25"/>
        <v>337.44769073587634</v>
      </c>
      <c r="T221" s="572">
        <f t="shared" si="19"/>
        <v>36.55683316305327</v>
      </c>
      <c r="U221" s="1145"/>
      <c r="V221" s="1150"/>
      <c r="W221" s="1132"/>
      <c r="X221" s="1026"/>
      <c r="Y221" s="1059"/>
      <c r="Z221" s="1060"/>
    </row>
    <row r="222" spans="1:26">
      <c r="A222" s="1377"/>
      <c r="B222" s="1802"/>
      <c r="C222" s="1283" t="s">
        <v>22</v>
      </c>
      <c r="D222" s="1033"/>
      <c r="E222" s="573"/>
      <c r="F222" s="1135"/>
      <c r="G222" s="1125">
        <f t="shared" si="20"/>
        <v>-5.2915326773923779</v>
      </c>
      <c r="H222" s="572">
        <f t="shared" si="21"/>
        <v>-0.57324937338417437</v>
      </c>
      <c r="I222" s="1142"/>
      <c r="J222" s="530">
        <f t="shared" si="22"/>
        <v>8.3214670767295509</v>
      </c>
      <c r="K222" s="572">
        <f t="shared" si="15"/>
        <v>0.90149226664570137</v>
      </c>
      <c r="L222" s="1135"/>
      <c r="M222" s="1125">
        <f t="shared" si="23"/>
        <v>11.588311450725971</v>
      </c>
      <c r="N222" s="572">
        <f t="shared" si="17"/>
        <v>1.2554004071619802</v>
      </c>
      <c r="O222" s="1145"/>
      <c r="P222" s="530">
        <f t="shared" si="24"/>
        <v>9.1990094751618319</v>
      </c>
      <c r="Q222" s="572">
        <f t="shared" si="18"/>
        <v>0.99655935980919852</v>
      </c>
      <c r="R222" s="1135"/>
      <c r="S222" s="1125">
        <f t="shared" si="25"/>
        <v>4.3684126449098706</v>
      </c>
      <c r="T222" s="572">
        <f t="shared" si="19"/>
        <v>0.47324470319856932</v>
      </c>
      <c r="U222" s="1145"/>
      <c r="V222" s="1150"/>
      <c r="W222" s="1132"/>
      <c r="X222" s="1026"/>
      <c r="Y222" s="1059"/>
      <c r="Z222" s="1060"/>
    </row>
    <row r="223" spans="1:26">
      <c r="A223" s="1377"/>
      <c r="B223" s="1802"/>
      <c r="C223" s="1283" t="s">
        <v>803</v>
      </c>
      <c r="D223" s="1033"/>
      <c r="E223" s="573"/>
      <c r="F223" s="1135"/>
      <c r="G223" s="1125">
        <f t="shared" si="20"/>
        <v>3.5473337428026186</v>
      </c>
      <c r="H223" s="572">
        <f t="shared" si="21"/>
        <v>0.384294488803617</v>
      </c>
      <c r="I223" s="1142"/>
      <c r="J223" s="530">
        <f t="shared" si="22"/>
        <v>25.553485502692489</v>
      </c>
      <c r="K223" s="572">
        <f t="shared" si="15"/>
        <v>2.7682942627916862</v>
      </c>
      <c r="L223" s="1135"/>
      <c r="M223" s="1125">
        <f t="shared" si="23"/>
        <v>30.101536814892402</v>
      </c>
      <c r="N223" s="572">
        <f t="shared" si="17"/>
        <v>3.2609998216133436</v>
      </c>
      <c r="O223" s="1145"/>
      <c r="P223" s="530">
        <f t="shared" si="24"/>
        <v>26.168541679912938</v>
      </c>
      <c r="Q223" s="572">
        <f t="shared" si="18"/>
        <v>2.8349253486572348</v>
      </c>
      <c r="R223" s="1135"/>
      <c r="S223" s="1125">
        <f t="shared" si="25"/>
        <v>20.34687447508162</v>
      </c>
      <c r="T223" s="572">
        <f t="shared" si="19"/>
        <v>2.204244734800509</v>
      </c>
      <c r="U223" s="1145"/>
      <c r="V223" s="1150"/>
      <c r="W223" s="1132"/>
      <c r="X223" s="1026"/>
      <c r="Y223" s="1059"/>
      <c r="Z223" s="1060"/>
    </row>
    <row r="224" spans="1:26">
      <c r="A224" s="1377"/>
      <c r="B224" s="1802"/>
      <c r="C224" s="1283" t="s">
        <v>802</v>
      </c>
      <c r="D224" s="1033"/>
      <c r="E224" s="573"/>
      <c r="F224" s="1135"/>
      <c r="G224" s="1125">
        <f t="shared" si="20"/>
        <v>-6.53256341842404</v>
      </c>
      <c r="H224" s="572">
        <f t="shared" si="21"/>
        <v>-0.70769437032927096</v>
      </c>
      <c r="I224" s="1142"/>
      <c r="J224" s="530">
        <f t="shared" si="22"/>
        <v>53.834877046345419</v>
      </c>
      <c r="K224" s="572">
        <f t="shared" si="15"/>
        <v>5.8321116800207538</v>
      </c>
      <c r="L224" s="1135"/>
      <c r="M224" s="1125">
        <f t="shared" si="23"/>
        <v>68.94296274242879</v>
      </c>
      <c r="N224" s="572">
        <f t="shared" si="17"/>
        <v>7.4688209637631191</v>
      </c>
      <c r="O224" s="1145"/>
      <c r="P224" s="530">
        <f t="shared" si="24"/>
        <v>59.654841659764628</v>
      </c>
      <c r="Q224" s="572">
        <f t="shared" si="18"/>
        <v>6.4626078464745014</v>
      </c>
      <c r="R224" s="1135"/>
      <c r="S224" s="1125">
        <f t="shared" si="25"/>
        <v>42.727826093462468</v>
      </c>
      <c r="T224" s="572">
        <f t="shared" si="19"/>
        <v>4.628847826791767</v>
      </c>
      <c r="U224" s="1145"/>
      <c r="V224" s="1150"/>
      <c r="W224" s="1132"/>
      <c r="X224" s="1026"/>
      <c r="Y224" s="1059"/>
      <c r="Z224" s="1060"/>
    </row>
    <row r="225" spans="1:26">
      <c r="A225" s="1377"/>
      <c r="B225" s="1802"/>
      <c r="C225" s="1283" t="s">
        <v>587</v>
      </c>
      <c r="D225" s="1033"/>
      <c r="E225" s="573"/>
      <c r="F225" s="1135"/>
      <c r="G225" s="1125">
        <f t="shared" si="20"/>
        <v>8.7218301263723408</v>
      </c>
      <c r="H225" s="572">
        <f t="shared" si="21"/>
        <v>0.94486493035700359</v>
      </c>
      <c r="I225" s="1142"/>
      <c r="J225" s="530">
        <f t="shared" si="22"/>
        <v>65.725878361699216</v>
      </c>
      <c r="K225" s="572">
        <f t="shared" si="15"/>
        <v>7.1203034891840824</v>
      </c>
      <c r="L225" s="1135"/>
      <c r="M225" s="1125">
        <f t="shared" si="23"/>
        <v>78.979671809560003</v>
      </c>
      <c r="N225" s="572">
        <f t="shared" si="17"/>
        <v>8.5561311127023352</v>
      </c>
      <c r="O225" s="1145"/>
      <c r="P225" s="530">
        <f t="shared" si="24"/>
        <v>68.914459873154158</v>
      </c>
      <c r="Q225" s="572">
        <f t="shared" si="18"/>
        <v>7.4657331529250346</v>
      </c>
      <c r="R225" s="1135"/>
      <c r="S225" s="1125">
        <f t="shared" si="25"/>
        <v>53.959468055960158</v>
      </c>
      <c r="T225" s="572">
        <f t="shared" si="19"/>
        <v>5.8456090393956837</v>
      </c>
      <c r="U225" s="1145"/>
      <c r="V225" s="1150"/>
      <c r="W225" s="1024"/>
      <c r="X225" s="1026"/>
      <c r="Y225" s="1059"/>
      <c r="Z225" s="1060"/>
    </row>
    <row r="226" spans="1:26">
      <c r="A226" s="1377"/>
      <c r="B226" s="1802"/>
      <c r="C226" s="1283" t="s">
        <v>20</v>
      </c>
      <c r="D226" s="1033"/>
      <c r="E226" s="573"/>
      <c r="F226" s="1135"/>
      <c r="G226" s="1125">
        <f t="shared" si="20"/>
        <v>8.759000463420989</v>
      </c>
      <c r="H226" s="572">
        <f t="shared" si="21"/>
        <v>0.94889171687060725</v>
      </c>
      <c r="I226" s="1142"/>
      <c r="J226" s="530">
        <f t="shared" si="22"/>
        <v>113.19328753462071</v>
      </c>
      <c r="K226" s="572">
        <f t="shared" si="15"/>
        <v>12.262606149583911</v>
      </c>
      <c r="L226" s="1135"/>
      <c r="M226" s="1125">
        <f t="shared" si="23"/>
        <v>137.67013107808904</v>
      </c>
      <c r="N226" s="572">
        <f t="shared" si="17"/>
        <v>14.914264200126313</v>
      </c>
      <c r="O226" s="1145"/>
      <c r="P226" s="530">
        <f t="shared" si="24"/>
        <v>119.27701089493183</v>
      </c>
      <c r="Q226" s="572">
        <f t="shared" si="18"/>
        <v>12.921676180284281</v>
      </c>
      <c r="R226" s="1135"/>
      <c r="S226" s="1125">
        <f t="shared" si="25"/>
        <v>90.773637859635485</v>
      </c>
      <c r="T226" s="572">
        <f t="shared" si="19"/>
        <v>9.8338107681271776</v>
      </c>
      <c r="U226" s="1145"/>
      <c r="V226" s="1150"/>
      <c r="W226" s="1024"/>
      <c r="X226" s="1026"/>
      <c r="Y226" s="1059"/>
      <c r="Z226" s="1060"/>
    </row>
    <row r="227" spans="1:26">
      <c r="A227" s="1377"/>
      <c r="B227" s="1802"/>
      <c r="C227" s="1283" t="s">
        <v>586</v>
      </c>
      <c r="D227" s="1033"/>
      <c r="E227" s="573"/>
      <c r="F227" s="1135"/>
      <c r="G227" s="1125">
        <f t="shared" si="20"/>
        <v>6.9750826058327373</v>
      </c>
      <c r="H227" s="572">
        <f t="shared" si="21"/>
        <v>0.75563394896521319</v>
      </c>
      <c r="I227" s="1142"/>
      <c r="J227" s="530">
        <f t="shared" si="22"/>
        <v>60.373705214677024</v>
      </c>
      <c r="K227" s="572">
        <f t="shared" si="15"/>
        <v>6.540484731590011</v>
      </c>
      <c r="L227" s="1135"/>
      <c r="M227" s="1125">
        <f t="shared" si="23"/>
        <v>72.9562035790415</v>
      </c>
      <c r="N227" s="572">
        <f t="shared" si="17"/>
        <v>7.9035887210628299</v>
      </c>
      <c r="O227" s="1145"/>
      <c r="P227" s="530">
        <f t="shared" si="24"/>
        <v>63.535361104473552</v>
      </c>
      <c r="Q227" s="572">
        <f t="shared" si="18"/>
        <v>6.8829974529846343</v>
      </c>
      <c r="R227" s="1135"/>
      <c r="S227" s="1125">
        <f t="shared" si="25"/>
        <v>49.502933625755226</v>
      </c>
      <c r="T227" s="572">
        <f t="shared" si="19"/>
        <v>5.362817809456816</v>
      </c>
      <c r="U227" s="1145"/>
      <c r="V227" s="1150"/>
      <c r="W227" s="1024"/>
      <c r="X227" s="1026"/>
      <c r="Y227" s="1059"/>
      <c r="Z227" s="1060"/>
    </row>
    <row r="228" spans="1:26">
      <c r="A228" s="1377"/>
      <c r="B228" s="1802"/>
      <c r="C228" s="1283" t="s">
        <v>19</v>
      </c>
      <c r="D228" s="1033"/>
      <c r="E228" s="573"/>
      <c r="F228" s="1135"/>
      <c r="G228" s="1125">
        <f t="shared" si="20"/>
        <v>-7.8485934934988322</v>
      </c>
      <c r="H228" s="572">
        <f t="shared" si="21"/>
        <v>-0.85026429512904012</v>
      </c>
      <c r="I228" s="1142"/>
      <c r="J228" s="530">
        <f t="shared" si="22"/>
        <v>71.946287526274617</v>
      </c>
      <c r="K228" s="572">
        <f t="shared" si="15"/>
        <v>7.7941811486797503</v>
      </c>
      <c r="L228" s="1135"/>
      <c r="M228" s="1125">
        <f t="shared" si="23"/>
        <v>91.879828768800905</v>
      </c>
      <c r="N228" s="572">
        <f t="shared" si="17"/>
        <v>9.9536481166200996</v>
      </c>
      <c r="O228" s="1145"/>
      <c r="P228" s="530">
        <f t="shared" si="24"/>
        <v>79.560653195299579</v>
      </c>
      <c r="Q228" s="572">
        <f t="shared" si="18"/>
        <v>8.619070762824121</v>
      </c>
      <c r="R228" s="1135"/>
      <c r="S228" s="1125">
        <f t="shared" si="25"/>
        <v>57.272103473776518</v>
      </c>
      <c r="T228" s="572">
        <f t="shared" si="19"/>
        <v>6.2044778763257895</v>
      </c>
      <c r="U228" s="1145"/>
      <c r="V228" s="1150"/>
      <c r="W228" s="1024"/>
      <c r="X228" s="1026"/>
      <c r="Y228" s="1059"/>
      <c r="Z228" s="1060"/>
    </row>
    <row r="229" spans="1:26">
      <c r="A229" s="1377"/>
      <c r="B229" s="1802"/>
      <c r="C229" s="1283" t="s">
        <v>588</v>
      </c>
      <c r="D229" s="1033"/>
      <c r="E229" s="573"/>
      <c r="F229" s="1134"/>
      <c r="G229" s="1125">
        <f t="shared" si="20"/>
        <v>-7.4490642007115753</v>
      </c>
      <c r="H229" s="572">
        <f t="shared" si="21"/>
        <v>-0.80698195507708737</v>
      </c>
      <c r="I229" s="1143"/>
      <c r="J229" s="530">
        <f t="shared" si="22"/>
        <v>22.66363450470341</v>
      </c>
      <c r="K229" s="572">
        <f t="shared" si="15"/>
        <v>2.4552270713428697</v>
      </c>
      <c r="L229" s="1134"/>
      <c r="M229" s="1125">
        <f t="shared" si="23"/>
        <v>30.395102627021782</v>
      </c>
      <c r="N229" s="572">
        <f t="shared" si="17"/>
        <v>3.2928027845940262</v>
      </c>
      <c r="O229" s="1146"/>
      <c r="P229" s="530">
        <f t="shared" si="24"/>
        <v>25.985556552998791</v>
      </c>
      <c r="Q229" s="572">
        <f t="shared" si="18"/>
        <v>2.8151019599082026</v>
      </c>
      <c r="R229" s="1134"/>
      <c r="S229" s="1125">
        <f t="shared" si="25"/>
        <v>17.084077247381767</v>
      </c>
      <c r="T229" s="572">
        <f t="shared" si="19"/>
        <v>1.850775035133025</v>
      </c>
      <c r="U229" s="1146"/>
      <c r="V229" s="1150"/>
      <c r="W229" s="1027"/>
      <c r="X229" s="1028"/>
      <c r="Y229" s="1061"/>
      <c r="Z229" s="1062"/>
    </row>
    <row r="230" spans="1:26">
      <c r="A230" s="1377"/>
      <c r="B230" s="1803" t="s">
        <v>810</v>
      </c>
      <c r="C230" s="1282" t="s">
        <v>9</v>
      </c>
      <c r="D230" s="1033"/>
      <c r="E230" s="573"/>
      <c r="F230" s="1135"/>
      <c r="G230" s="1144">
        <f t="shared" si="20"/>
        <v>8.5139861067514495</v>
      </c>
      <c r="H230" s="1134">
        <f t="shared" si="21"/>
        <v>0.9223484948980738</v>
      </c>
      <c r="I230" s="1142">
        <f>SUM(H230:H239)</f>
        <v>5.0040516988569967</v>
      </c>
      <c r="J230" s="530">
        <f t="shared" si="22"/>
        <v>114.5345001075616</v>
      </c>
      <c r="K230" s="572">
        <f t="shared" si="15"/>
        <v>12.407904178319175</v>
      </c>
      <c r="L230" s="1135">
        <f>SUM(K230:K239)</f>
        <v>100.44734833743095</v>
      </c>
      <c r="M230" s="1125">
        <f t="shared" si="23"/>
        <v>139.69263095381135</v>
      </c>
      <c r="N230" s="572">
        <f t="shared" si="17"/>
        <v>15.133368353329564</v>
      </c>
      <c r="O230" s="1145">
        <f>SUM(N230:N239)</f>
        <v>123.0301713609085</v>
      </c>
      <c r="P230" s="530">
        <f t="shared" si="24"/>
        <v>121.92985796102704</v>
      </c>
      <c r="Q230" s="572">
        <f t="shared" si="18"/>
        <v>13.20906794577793</v>
      </c>
      <c r="R230" s="1135">
        <f>SUM(Q230:Q239)</f>
        <v>107.05841250173249</v>
      </c>
      <c r="S230" s="1125">
        <f t="shared" si="25"/>
        <v>94.135942024363402</v>
      </c>
      <c r="T230" s="572">
        <f t="shared" si="19"/>
        <v>10.198060385972703</v>
      </c>
      <c r="U230" s="1145">
        <f>SUM(T230:T239)</f>
        <v>81.809254689908769</v>
      </c>
      <c r="V230" s="1150"/>
      <c r="W230" s="1065">
        <f>SUM(F230,I230,L230,O230,R230,U230)</f>
        <v>417.34923858883769</v>
      </c>
      <c r="X230" s="1026"/>
      <c r="Y230" s="1057">
        <f>W230/$C$169</f>
        <v>321.03787583756747</v>
      </c>
      <c r="Z230" s="1060"/>
    </row>
    <row r="231" spans="1:26">
      <c r="A231" s="1377"/>
      <c r="B231" s="1803"/>
      <c r="C231" s="1283" t="s">
        <v>804</v>
      </c>
      <c r="D231" s="1033"/>
      <c r="E231" s="573"/>
      <c r="F231" s="1135"/>
      <c r="G231" s="1125">
        <f t="shared" si="20"/>
        <v>51.704097385469296</v>
      </c>
      <c r="H231" s="572">
        <f t="shared" si="21"/>
        <v>5.6012772167591738</v>
      </c>
      <c r="I231" s="1142"/>
      <c r="J231" s="530">
        <f t="shared" si="22"/>
        <v>406.0983014550448</v>
      </c>
      <c r="K231" s="572">
        <f t="shared" si="15"/>
        <v>43.99398265762985</v>
      </c>
      <c r="L231" s="1135"/>
      <c r="M231" s="1125">
        <f t="shared" si="23"/>
        <v>489.48829857841247</v>
      </c>
      <c r="N231" s="572">
        <f t="shared" si="17"/>
        <v>53.027899012661351</v>
      </c>
      <c r="O231" s="1145"/>
      <c r="P231" s="530">
        <f t="shared" si="24"/>
        <v>429.45892308577288</v>
      </c>
      <c r="Q231" s="572">
        <f t="shared" si="18"/>
        <v>46.524716667625398</v>
      </c>
      <c r="R231" s="1135"/>
      <c r="S231" s="1125">
        <f t="shared" si="25"/>
        <v>339.96436642374471</v>
      </c>
      <c r="T231" s="572">
        <f t="shared" si="19"/>
        <v>36.829473029239011</v>
      </c>
      <c r="U231" s="1145"/>
      <c r="V231" s="1150"/>
      <c r="W231" s="1024"/>
      <c r="X231" s="1026"/>
      <c r="Y231" s="1059"/>
      <c r="Z231" s="1060"/>
    </row>
    <row r="232" spans="1:26" ht="15" customHeight="1">
      <c r="A232" s="1377"/>
      <c r="B232" s="1803"/>
      <c r="C232" s="1283" t="s">
        <v>22</v>
      </c>
      <c r="D232" s="1033"/>
      <c r="E232" s="573"/>
      <c r="F232" s="1149"/>
      <c r="G232" s="1125">
        <f t="shared" si="20"/>
        <v>-5.2915326773923779</v>
      </c>
      <c r="H232" s="572">
        <f t="shared" si="21"/>
        <v>-0.57324937338417437</v>
      </c>
      <c r="I232" s="1142"/>
      <c r="J232" s="530">
        <f t="shared" si="22"/>
        <v>8.3214670767295509</v>
      </c>
      <c r="K232" s="572">
        <f t="shared" si="15"/>
        <v>0.90149226664570137</v>
      </c>
      <c r="L232" s="1135"/>
      <c r="M232" s="1125">
        <f t="shared" si="23"/>
        <v>11.588311450725971</v>
      </c>
      <c r="N232" s="572">
        <f t="shared" si="17"/>
        <v>1.2554004071619802</v>
      </c>
      <c r="O232" s="1145"/>
      <c r="P232" s="530">
        <f t="shared" si="24"/>
        <v>9.1990094751618319</v>
      </c>
      <c r="Q232" s="572">
        <f t="shared" si="18"/>
        <v>0.99655935980919852</v>
      </c>
      <c r="R232" s="1135"/>
      <c r="S232" s="1125">
        <f t="shared" si="25"/>
        <v>4.3684126449098706</v>
      </c>
      <c r="T232" s="572">
        <f t="shared" si="19"/>
        <v>0.47324470319856932</v>
      </c>
      <c r="U232" s="1145"/>
      <c r="V232" s="1150"/>
      <c r="W232" s="1132"/>
      <c r="X232" s="1026"/>
      <c r="Y232" s="1059"/>
      <c r="Z232" s="1060"/>
    </row>
    <row r="233" spans="1:26">
      <c r="A233" s="1377"/>
      <c r="B233" s="1803"/>
      <c r="C233" s="1283" t="s">
        <v>803</v>
      </c>
      <c r="D233" s="1033"/>
      <c r="E233" s="573"/>
      <c r="F233" s="1135"/>
      <c r="G233" s="1125">
        <f t="shared" si="20"/>
        <v>-0.64815899302110225</v>
      </c>
      <c r="H233" s="572">
        <f t="shared" si="21"/>
        <v>-7.0217224243952756E-2</v>
      </c>
      <c r="I233" s="1142"/>
      <c r="J233" s="530">
        <f t="shared" si="22"/>
        <v>21.333401536214414</v>
      </c>
      <c r="K233" s="572">
        <f t="shared" si="15"/>
        <v>2.3111184997565615</v>
      </c>
      <c r="L233" s="1135"/>
      <c r="M233" s="1125">
        <f t="shared" si="23"/>
        <v>26.100031196020637</v>
      </c>
      <c r="N233" s="572">
        <f t="shared" si="17"/>
        <v>2.8275033795689026</v>
      </c>
      <c r="O233" s="1145"/>
      <c r="P233" s="530">
        <f t="shared" si="24"/>
        <v>22.311354909215545</v>
      </c>
      <c r="Q233" s="572">
        <f t="shared" si="18"/>
        <v>2.4170634484983506</v>
      </c>
      <c r="R233" s="1135"/>
      <c r="S233" s="1125">
        <f t="shared" si="25"/>
        <v>16.609151234169957</v>
      </c>
      <c r="T233" s="572">
        <f t="shared" si="19"/>
        <v>1.7993247170350788</v>
      </c>
      <c r="U233" s="1145"/>
      <c r="V233" s="1150"/>
      <c r="W233" s="1024"/>
      <c r="X233" s="1026"/>
      <c r="Y233" s="1059"/>
      <c r="Z233" s="1060"/>
    </row>
    <row r="234" spans="1:26">
      <c r="A234" s="1377"/>
      <c r="B234" s="1803"/>
      <c r="C234" s="1283" t="s">
        <v>802</v>
      </c>
      <c r="D234" s="1033"/>
      <c r="E234" s="573"/>
      <c r="F234" s="1135"/>
      <c r="G234" s="1125">
        <f t="shared" si="20"/>
        <v>-6.53256341842404</v>
      </c>
      <c r="H234" s="572">
        <f t="shared" si="21"/>
        <v>-0.70769437032927096</v>
      </c>
      <c r="I234" s="1142"/>
      <c r="J234" s="530">
        <f t="shared" si="22"/>
        <v>53.834877046345419</v>
      </c>
      <c r="K234" s="572">
        <f t="shared" si="15"/>
        <v>5.8321116800207538</v>
      </c>
      <c r="L234" s="1135"/>
      <c r="M234" s="1125">
        <f t="shared" si="23"/>
        <v>68.94296274242879</v>
      </c>
      <c r="N234" s="572">
        <f t="shared" si="17"/>
        <v>7.4688209637631191</v>
      </c>
      <c r="O234" s="1145"/>
      <c r="P234" s="530">
        <f t="shared" si="24"/>
        <v>59.654841659764628</v>
      </c>
      <c r="Q234" s="572">
        <f t="shared" si="18"/>
        <v>6.4626078464745014</v>
      </c>
      <c r="R234" s="1135"/>
      <c r="S234" s="1125">
        <f t="shared" si="25"/>
        <v>42.727826093462468</v>
      </c>
      <c r="T234" s="572">
        <f t="shared" si="19"/>
        <v>4.628847826791767</v>
      </c>
      <c r="U234" s="1145"/>
      <c r="V234" s="1150"/>
      <c r="W234" s="1024"/>
      <c r="X234" s="1026"/>
      <c r="Y234" s="1059"/>
      <c r="Z234" s="1060"/>
    </row>
    <row r="235" spans="1:26">
      <c r="A235" s="1377"/>
      <c r="B235" s="1803"/>
      <c r="C235" s="1283" t="s">
        <v>587</v>
      </c>
      <c r="D235" s="1033"/>
      <c r="E235" s="573"/>
      <c r="F235" s="1135"/>
      <c r="G235" s="1125">
        <f t="shared" si="20"/>
        <v>8.7218301263723408</v>
      </c>
      <c r="H235" s="572">
        <f t="shared" si="21"/>
        <v>0.94486493035700359</v>
      </c>
      <c r="I235" s="1142"/>
      <c r="J235" s="530">
        <f t="shared" si="22"/>
        <v>65.725878361699216</v>
      </c>
      <c r="K235" s="572">
        <f t="shared" si="15"/>
        <v>7.1203034891840824</v>
      </c>
      <c r="L235" s="1135"/>
      <c r="M235" s="1125">
        <f t="shared" si="23"/>
        <v>78.979671809560003</v>
      </c>
      <c r="N235" s="572">
        <f t="shared" si="17"/>
        <v>8.5561311127023352</v>
      </c>
      <c r="O235" s="1145"/>
      <c r="P235" s="530">
        <f t="shared" si="24"/>
        <v>68.914459873154158</v>
      </c>
      <c r="Q235" s="572">
        <f t="shared" si="18"/>
        <v>7.4657331529250346</v>
      </c>
      <c r="R235" s="1135"/>
      <c r="S235" s="1125">
        <f t="shared" si="25"/>
        <v>53.959468055960158</v>
      </c>
      <c r="T235" s="572">
        <f t="shared" si="19"/>
        <v>5.8456090393956837</v>
      </c>
      <c r="U235" s="1145"/>
      <c r="V235" s="138"/>
      <c r="W235" s="1024"/>
      <c r="X235" s="1026"/>
      <c r="Y235" s="1059"/>
      <c r="Z235" s="1060"/>
    </row>
    <row r="236" spans="1:26">
      <c r="A236" s="1377"/>
      <c r="B236" s="1803"/>
      <c r="C236" s="1283" t="s">
        <v>20</v>
      </c>
      <c r="D236" s="1033"/>
      <c r="E236" s="573"/>
      <c r="F236" s="1135"/>
      <c r="G236" s="1125">
        <f t="shared" si="20"/>
        <v>5.1621347746721895</v>
      </c>
      <c r="H236" s="572">
        <f t="shared" si="21"/>
        <v>0.55923126725615391</v>
      </c>
      <c r="I236" s="1142"/>
      <c r="J236" s="530">
        <f t="shared" si="22"/>
        <v>109.56071232894126</v>
      </c>
      <c r="K236" s="572">
        <f t="shared" si="15"/>
        <v>11.869077168968639</v>
      </c>
      <c r="L236" s="1135"/>
      <c r="M236" s="1125">
        <f t="shared" si="23"/>
        <v>133.6309299422897</v>
      </c>
      <c r="N236" s="572">
        <f t="shared" si="17"/>
        <v>14.476684077081384</v>
      </c>
      <c r="O236" s="1145"/>
      <c r="P236" s="530">
        <f t="shared" si="24"/>
        <v>115.38444222446368</v>
      </c>
      <c r="Q236" s="572">
        <f t="shared" si="18"/>
        <v>12.499981240983567</v>
      </c>
      <c r="R236" s="1135"/>
      <c r="S236" s="1125">
        <f t="shared" si="25"/>
        <v>87.002850938905056</v>
      </c>
      <c r="T236" s="572">
        <f t="shared" si="19"/>
        <v>9.4253088517147159</v>
      </c>
      <c r="U236" s="1145"/>
      <c r="V236" s="138"/>
      <c r="W236" s="1024"/>
      <c r="X236" s="1026"/>
      <c r="Y236" s="1059"/>
      <c r="Z236" s="1060"/>
    </row>
    <row r="237" spans="1:26">
      <c r="A237" s="1377"/>
      <c r="B237" s="1803"/>
      <c r="C237" s="1283" t="s">
        <v>586</v>
      </c>
      <c r="D237" s="1033"/>
      <c r="E237" s="573"/>
      <c r="F237" s="1135"/>
      <c r="G237" s="1125">
        <f t="shared" si="20"/>
        <v>-0.14088915922968681</v>
      </c>
      <c r="H237" s="572">
        <f t="shared" si="21"/>
        <v>-1.5262992249882737E-2</v>
      </c>
      <c r="I237" s="1142"/>
      <c r="J237" s="530">
        <f t="shared" si="22"/>
        <v>53.187232402001968</v>
      </c>
      <c r="K237" s="572">
        <f t="shared" si="15"/>
        <v>5.7619501768835475</v>
      </c>
      <c r="L237" s="1135"/>
      <c r="M237" s="1125">
        <f t="shared" si="23"/>
        <v>64.965352185468134</v>
      </c>
      <c r="N237" s="572">
        <f t="shared" si="17"/>
        <v>7.0379131534257144</v>
      </c>
      <c r="O237" s="1145"/>
      <c r="P237" s="530">
        <f t="shared" si="24"/>
        <v>55.832401079133845</v>
      </c>
      <c r="Q237" s="572">
        <f t="shared" si="18"/>
        <v>6.0485101169061668</v>
      </c>
      <c r="R237" s="1135"/>
      <c r="S237" s="1125">
        <f t="shared" si="25"/>
        <v>42.038152847099241</v>
      </c>
      <c r="T237" s="572">
        <f t="shared" si="19"/>
        <v>4.5541332251024178</v>
      </c>
      <c r="U237" s="1145"/>
      <c r="V237" s="138"/>
      <c r="W237" s="1024"/>
      <c r="X237" s="1026"/>
      <c r="Y237" s="1059"/>
      <c r="Z237" s="1060"/>
    </row>
    <row r="238" spans="1:26">
      <c r="A238" s="1377"/>
      <c r="B238" s="1803"/>
      <c r="C238" s="1283" t="s">
        <v>19</v>
      </c>
      <c r="D238" s="1033"/>
      <c r="E238" s="573"/>
      <c r="F238" s="1135"/>
      <c r="G238" s="1125">
        <f t="shared" si="20"/>
        <v>-7.8485934934988322</v>
      </c>
      <c r="H238" s="572">
        <f t="shared" si="21"/>
        <v>-0.85026429512904012</v>
      </c>
      <c r="I238" s="1142"/>
      <c r="J238" s="530">
        <f t="shared" si="22"/>
        <v>71.946287526274617</v>
      </c>
      <c r="K238" s="572">
        <f t="shared" si="15"/>
        <v>7.7941811486797503</v>
      </c>
      <c r="L238" s="1135"/>
      <c r="M238" s="1125">
        <f t="shared" si="23"/>
        <v>91.879828768800905</v>
      </c>
      <c r="N238" s="572">
        <f t="shared" si="17"/>
        <v>9.9536481166200996</v>
      </c>
      <c r="O238" s="1145"/>
      <c r="P238" s="530">
        <f t="shared" si="24"/>
        <v>79.560653195299579</v>
      </c>
      <c r="Q238" s="572">
        <f t="shared" si="18"/>
        <v>8.619070762824121</v>
      </c>
      <c r="R238" s="1135"/>
      <c r="S238" s="1125">
        <f t="shared" si="25"/>
        <v>57.272103473776518</v>
      </c>
      <c r="T238" s="572">
        <f t="shared" si="19"/>
        <v>6.2044778763257895</v>
      </c>
      <c r="U238" s="1145"/>
      <c r="V238" s="138"/>
      <c r="W238" s="1024"/>
      <c r="X238" s="1026"/>
      <c r="Y238" s="1059"/>
      <c r="Z238" s="1060"/>
    </row>
    <row r="239" spans="1:26">
      <c r="A239" s="1377"/>
      <c r="B239" s="1803"/>
      <c r="C239" s="1283" t="s">
        <v>588</v>
      </c>
      <c r="D239" s="1033"/>
      <c r="E239" s="573"/>
      <c r="F239" s="1135"/>
      <c r="G239" s="1125">
        <f t="shared" si="20"/>
        <v>-7.4490642007115753</v>
      </c>
      <c r="H239" s="572">
        <f t="shared" si="21"/>
        <v>-0.80698195507708737</v>
      </c>
      <c r="I239" s="1143"/>
      <c r="J239" s="530">
        <f t="shared" si="22"/>
        <v>22.66363450470341</v>
      </c>
      <c r="K239" s="572">
        <f t="shared" si="15"/>
        <v>2.4552270713428697</v>
      </c>
      <c r="L239" s="1135"/>
      <c r="M239" s="1125">
        <f t="shared" si="23"/>
        <v>30.395102627021782</v>
      </c>
      <c r="N239" s="572">
        <f t="shared" si="17"/>
        <v>3.2928027845940262</v>
      </c>
      <c r="O239" s="1146"/>
      <c r="P239" s="530">
        <f t="shared" si="24"/>
        <v>25.985556552998791</v>
      </c>
      <c r="Q239" s="572">
        <f t="shared" si="18"/>
        <v>2.8151019599082026</v>
      </c>
      <c r="R239" s="1135"/>
      <c r="S239" s="1125">
        <f t="shared" si="25"/>
        <v>17.084077247381767</v>
      </c>
      <c r="T239" s="572">
        <f t="shared" si="19"/>
        <v>1.850775035133025</v>
      </c>
      <c r="U239" s="1146"/>
      <c r="V239" s="138"/>
      <c r="W239" s="1027"/>
      <c r="X239" s="1028"/>
      <c r="Y239" s="1061"/>
      <c r="Z239" s="1062"/>
    </row>
    <row r="240" spans="1:26">
      <c r="A240" s="559"/>
      <c r="B240" s="576" t="s">
        <v>647</v>
      </c>
      <c r="D240" s="484">
        <f>SUM(D180:D239)</f>
        <v>0</v>
      </c>
      <c r="E240" s="574">
        <f t="shared" ref="E240" si="58">(D240/$C$167)*$C$169</f>
        <v>0</v>
      </c>
      <c r="F240" s="574">
        <f>SUM(F180:F239)</f>
        <v>0</v>
      </c>
      <c r="G240" s="528">
        <f>SUM(G180:G239)</f>
        <v>134.53216117358485</v>
      </c>
      <c r="H240" s="574">
        <f t="shared" ref="H240" si="59">(G240/$C$167)*$C$169</f>
        <v>14.574317460471693</v>
      </c>
      <c r="I240" s="575">
        <f>SUM(I180:I239)</f>
        <v>14.574317460471701</v>
      </c>
      <c r="J240" s="528">
        <f>SUM(J180:J239)</f>
        <v>5237.2316740478745</v>
      </c>
      <c r="K240" s="574">
        <f t="shared" si="15"/>
        <v>567.36676468851977</v>
      </c>
      <c r="L240" s="575">
        <f>SUM(L180:L239)</f>
        <v>567.36676468851988</v>
      </c>
      <c r="M240" s="528">
        <f>SUM(M180:M239)</f>
        <v>6380.1059546417309</v>
      </c>
      <c r="N240" s="574">
        <f t="shared" si="17"/>
        <v>691.17814508618756</v>
      </c>
      <c r="O240" s="575">
        <f>SUM(O180:O239)</f>
        <v>691.17814508618756</v>
      </c>
      <c r="P240" s="528">
        <f>SUM(P180:P239)</f>
        <v>5489.9898383630798</v>
      </c>
      <c r="Q240" s="574">
        <f t="shared" si="18"/>
        <v>594.74889915600033</v>
      </c>
      <c r="R240" s="575">
        <f>SUM(R180:R239)</f>
        <v>594.74889915600033</v>
      </c>
      <c r="S240" s="528">
        <f>SUM(S180:S239)</f>
        <v>4065.4017542886454</v>
      </c>
      <c r="T240" s="574">
        <f t="shared" ref="T240" si="60">(S240/$C$167)*$C$169</f>
        <v>440.41852338126995</v>
      </c>
      <c r="U240" s="575">
        <f>SUM(U180:U239)</f>
        <v>440.41852338126989</v>
      </c>
      <c r="V240" s="138"/>
      <c r="W240" s="575">
        <f>SUM(F240,I240,L240,O240,R240,U240)</f>
        <v>2308.2866497724494</v>
      </c>
      <c r="X240" s="1064"/>
      <c r="Y240" s="1063">
        <f>SUM(Y180:Z239)</f>
        <v>1775.6051152095768</v>
      </c>
      <c r="Z240" s="1063"/>
    </row>
    <row r="242" spans="1:4">
      <c r="A242" s="14"/>
      <c r="B242" s="14"/>
      <c r="C242" s="14"/>
      <c r="D242" s="14"/>
    </row>
    <row r="243" spans="1:4">
      <c r="A243" s="564"/>
      <c r="B243" s="564"/>
      <c r="C243" s="588"/>
      <c r="D243" s="14"/>
    </row>
    <row r="244" spans="1:4">
      <c r="A244" s="564"/>
      <c r="B244" s="564"/>
      <c r="C244" s="14"/>
      <c r="D244" s="14"/>
    </row>
    <row r="245" spans="1:4">
      <c r="A245" s="589"/>
      <c r="B245" s="589"/>
      <c r="C245" s="14"/>
      <c r="D245" s="14"/>
    </row>
  </sheetData>
  <mergeCells count="105">
    <mergeCell ref="A200:A219"/>
    <mergeCell ref="B200:B209"/>
    <mergeCell ref="B210:B219"/>
    <mergeCell ref="A220:A239"/>
    <mergeCell ref="B220:B229"/>
    <mergeCell ref="B230:B239"/>
    <mergeCell ref="A177:C178"/>
    <mergeCell ref="A179:C179"/>
    <mergeCell ref="A97:C98"/>
    <mergeCell ref="A99:C99"/>
    <mergeCell ref="A100:A119"/>
    <mergeCell ref="B100:B109"/>
    <mergeCell ref="B110:B119"/>
    <mergeCell ref="A120:A139"/>
    <mergeCell ref="B120:B129"/>
    <mergeCell ref="B130:B139"/>
    <mergeCell ref="A140:A159"/>
    <mergeCell ref="B140:B149"/>
    <mergeCell ref="B150:B159"/>
    <mergeCell ref="A169:B169"/>
    <mergeCell ref="A170:B171"/>
    <mergeCell ref="C170:C171"/>
    <mergeCell ref="A180:A199"/>
    <mergeCell ref="B180:B189"/>
    <mergeCell ref="B190:B199"/>
    <mergeCell ref="C6:C7"/>
    <mergeCell ref="D6:D7"/>
    <mergeCell ref="A6:B7"/>
    <mergeCell ref="A14:B14"/>
    <mergeCell ref="C18:C19"/>
    <mergeCell ref="A18:B19"/>
    <mergeCell ref="A23:B23"/>
    <mergeCell ref="A20:B20"/>
    <mergeCell ref="A21:B21"/>
    <mergeCell ref="A22:B22"/>
    <mergeCell ref="A27:B27"/>
    <mergeCell ref="A24:B24"/>
    <mergeCell ref="A25:B25"/>
    <mergeCell ref="A26:B26"/>
    <mergeCell ref="D18:D19"/>
    <mergeCell ref="A34:A53"/>
    <mergeCell ref="B34:B43"/>
    <mergeCell ref="B44:B53"/>
    <mergeCell ref="A54:A73"/>
    <mergeCell ref="B54:B63"/>
    <mergeCell ref="B64:B73"/>
    <mergeCell ref="A8:B8"/>
    <mergeCell ref="A9:B9"/>
    <mergeCell ref="H6:H7"/>
    <mergeCell ref="G6:G7"/>
    <mergeCell ref="I18:I19"/>
    <mergeCell ref="G18:G19"/>
    <mergeCell ref="H18:H19"/>
    <mergeCell ref="E6:E7"/>
    <mergeCell ref="F6:F7"/>
    <mergeCell ref="X179:Y179"/>
    <mergeCell ref="A174:B175"/>
    <mergeCell ref="A172:B173"/>
    <mergeCell ref="C172:C173"/>
    <mergeCell ref="D172:D173"/>
    <mergeCell ref="I6:I7"/>
    <mergeCell ref="I31:M31"/>
    <mergeCell ref="N31:R31"/>
    <mergeCell ref="A74:A93"/>
    <mergeCell ref="B74:B83"/>
    <mergeCell ref="B84:B93"/>
    <mergeCell ref="A31:C32"/>
    <mergeCell ref="A33:C33"/>
    <mergeCell ref="S97:W97"/>
    <mergeCell ref="A167:B168"/>
    <mergeCell ref="C167:C168"/>
    <mergeCell ref="D167:D168"/>
    <mergeCell ref="N1:O1"/>
    <mergeCell ref="B2:E3"/>
    <mergeCell ref="G2:K2"/>
    <mergeCell ref="L2:M2"/>
    <mergeCell ref="N2:O2"/>
    <mergeCell ref="G3:K3"/>
    <mergeCell ref="L3:M3"/>
    <mergeCell ref="N3:O3"/>
    <mergeCell ref="B1:E1"/>
    <mergeCell ref="F1:F3"/>
    <mergeCell ref="G1:K1"/>
    <mergeCell ref="L1:M1"/>
    <mergeCell ref="A10:B10"/>
    <mergeCell ref="A11:B11"/>
    <mergeCell ref="A12:B12"/>
    <mergeCell ref="A13:B13"/>
    <mergeCell ref="A15:B15"/>
    <mergeCell ref="D97:H97"/>
    <mergeCell ref="I97:M97"/>
    <mergeCell ref="E18:E19"/>
    <mergeCell ref="F18:F19"/>
    <mergeCell ref="D170:D171"/>
    <mergeCell ref="C164:C166"/>
    <mergeCell ref="A176:B176"/>
    <mergeCell ref="C174:C176"/>
    <mergeCell ref="D174:D176"/>
    <mergeCell ref="N97:R97"/>
    <mergeCell ref="J15:K15"/>
    <mergeCell ref="J18:J19"/>
    <mergeCell ref="K18:K19"/>
    <mergeCell ref="J16:K16"/>
    <mergeCell ref="D30:F30"/>
    <mergeCell ref="D31:H31"/>
  </mergeCells>
  <pageMargins left="0.39370078740157483" right="0.39370078740157483" top="0.39370078740157483" bottom="0.39370078740157483" header="0.11811023622047244" footer="0.11811023622047244"/>
  <pageSetup paperSize="9" scale="40" orientation="landscape" horizontalDpi="360" verticalDpi="360"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98"/>
  <sheetViews>
    <sheetView zoomScale="70" zoomScaleNormal="70" zoomScaleSheetLayoutView="70" zoomScalePageLayoutView="70" workbookViewId="0">
      <selection activeCell="G1" sqref="G1:O3"/>
    </sheetView>
  </sheetViews>
  <sheetFormatPr baseColWidth="10" defaultColWidth="8.83203125" defaultRowHeight="15"/>
  <cols>
    <col min="1" max="15" width="12.6640625" style="20" customWidth="1"/>
    <col min="16" max="17" width="12.6640625" style="50" customWidth="1"/>
    <col min="18" max="30" width="12.6640625" customWidth="1"/>
  </cols>
  <sheetData>
    <row r="1" spans="1:15">
      <c r="A1" s="278" t="s">
        <v>0</v>
      </c>
      <c r="B1" s="1620" t="s">
        <v>566</v>
      </c>
      <c r="C1" s="1621"/>
      <c r="D1" s="1621"/>
      <c r="E1" s="1622"/>
      <c r="F1" s="1508"/>
      <c r="G1" s="1402" t="s">
        <v>567</v>
      </c>
      <c r="H1" s="1403"/>
      <c r="I1" s="1403"/>
      <c r="J1" s="1403"/>
      <c r="K1" s="1404"/>
      <c r="L1" s="1352" t="s">
        <v>5</v>
      </c>
      <c r="M1" s="1353"/>
      <c r="N1" s="1352" t="s">
        <v>6</v>
      </c>
      <c r="O1" s="1353"/>
    </row>
    <row r="2" spans="1:15" ht="24">
      <c r="A2" s="47">
        <v>14</v>
      </c>
      <c r="B2" s="1511" t="s">
        <v>434</v>
      </c>
      <c r="C2" s="1512"/>
      <c r="D2" s="1512"/>
      <c r="E2" s="1513"/>
      <c r="F2" s="1509"/>
      <c r="G2" s="1414" t="s">
        <v>568</v>
      </c>
      <c r="H2" s="1415"/>
      <c r="I2" s="1415"/>
      <c r="J2" s="1415"/>
      <c r="K2" s="1416"/>
      <c r="L2" s="1391" t="s">
        <v>569</v>
      </c>
      <c r="M2" s="1392"/>
      <c r="N2" s="1391"/>
      <c r="O2" s="1392"/>
    </row>
    <row r="3" spans="1:15">
      <c r="A3" s="48" t="s">
        <v>62</v>
      </c>
      <c r="B3" s="1514"/>
      <c r="C3" s="1515"/>
      <c r="D3" s="1515"/>
      <c r="E3" s="1516"/>
      <c r="F3" s="1510"/>
      <c r="G3" s="1542" t="s">
        <v>572</v>
      </c>
      <c r="H3" s="1543"/>
      <c r="I3" s="1543"/>
      <c r="J3" s="1543"/>
      <c r="K3" s="1544"/>
      <c r="L3" s="1357" t="s">
        <v>570</v>
      </c>
      <c r="M3" s="1358"/>
      <c r="N3" s="1357"/>
      <c r="O3" s="1358"/>
    </row>
    <row r="7" spans="1:15" ht="15" customHeight="1">
      <c r="A7" s="1892" t="s">
        <v>202</v>
      </c>
      <c r="B7" s="1892" t="s">
        <v>445</v>
      </c>
      <c r="C7" s="1892" t="s">
        <v>448</v>
      </c>
      <c r="D7" s="1892" t="s">
        <v>446</v>
      </c>
      <c r="E7" s="1892" t="s">
        <v>456</v>
      </c>
      <c r="F7" s="1892" t="s">
        <v>447</v>
      </c>
      <c r="G7" s="1892" t="s">
        <v>449</v>
      </c>
      <c r="H7" s="1892" t="s">
        <v>458</v>
      </c>
      <c r="I7" s="1892" t="s">
        <v>459</v>
      </c>
      <c r="J7" s="1892" t="s">
        <v>462</v>
      </c>
    </row>
    <row r="8" spans="1:15" ht="15" customHeight="1">
      <c r="A8" s="1892"/>
      <c r="B8" s="1892"/>
      <c r="C8" s="1892"/>
      <c r="D8" s="1892"/>
      <c r="E8" s="1892"/>
      <c r="F8" s="1892"/>
      <c r="G8" s="1892"/>
      <c r="H8" s="1892"/>
      <c r="I8" s="1892"/>
      <c r="J8" s="1892"/>
    </row>
    <row r="9" spans="1:15" ht="15" customHeight="1">
      <c r="A9" s="1889" t="s">
        <v>24</v>
      </c>
      <c r="B9" s="287" t="s">
        <v>451</v>
      </c>
      <c r="C9" s="288" t="s">
        <v>452</v>
      </c>
      <c r="D9" s="1890" t="s">
        <v>24</v>
      </c>
      <c r="E9" s="287" t="s">
        <v>453</v>
      </c>
      <c r="F9" s="288" t="s">
        <v>454</v>
      </c>
      <c r="G9" s="288" t="s">
        <v>455</v>
      </c>
      <c r="H9" s="287" t="s">
        <v>457</v>
      </c>
      <c r="I9" s="287" t="s">
        <v>460</v>
      </c>
      <c r="J9" s="290" t="s">
        <v>461</v>
      </c>
    </row>
    <row r="10" spans="1:15" ht="15" customHeight="1">
      <c r="A10" s="1889"/>
      <c r="B10" s="289" t="s">
        <v>450</v>
      </c>
      <c r="C10" s="289" t="s">
        <v>443</v>
      </c>
      <c r="D10" s="1891"/>
      <c r="E10" s="289" t="s">
        <v>443</v>
      </c>
      <c r="F10" s="289" t="s">
        <v>443</v>
      </c>
      <c r="G10" s="289" t="s">
        <v>443</v>
      </c>
      <c r="H10" s="289" t="s">
        <v>351</v>
      </c>
      <c r="I10" s="289" t="s">
        <v>351</v>
      </c>
      <c r="J10" s="291" t="s">
        <v>24</v>
      </c>
    </row>
    <row r="11" spans="1:15" ht="15" customHeight="1">
      <c r="A11" s="279" t="s">
        <v>204</v>
      </c>
      <c r="B11" s="277">
        <f>'1.Dati'!F41</f>
        <v>10.3</v>
      </c>
      <c r="C11" s="269">
        <f>'1.Dati'!H41</f>
        <v>973</v>
      </c>
      <c r="D11" s="277">
        <v>1.1000000000000001</v>
      </c>
      <c r="E11" s="269">
        <v>810</v>
      </c>
      <c r="F11" s="269">
        <f>C11+(D11*E11)</f>
        <v>1864</v>
      </c>
      <c r="G11" s="277">
        <f>F11/0.8</f>
        <v>2330</v>
      </c>
      <c r="H11" s="277">
        <f>IF(G11&gt;610.5,(237.3*LN(G11/610.5))/(17.269-LN(G11/610.5)),(265.5*LN(G11/610.5))/(21.875-LN(G11/610.5)))</f>
        <v>19.951884305531955</v>
      </c>
      <c r="I11" s="277">
        <v>20</v>
      </c>
      <c r="J11" s="277">
        <f>((H11-B11)/(I11-B11))</f>
        <v>0.99503961912700567</v>
      </c>
    </row>
    <row r="12" spans="1:15">
      <c r="A12" s="279" t="s">
        <v>205</v>
      </c>
      <c r="B12" s="277">
        <f>'1.Dati'!F42</f>
        <v>10.8</v>
      </c>
      <c r="C12" s="269">
        <f>'1.Dati'!H42</f>
        <v>923</v>
      </c>
      <c r="D12" s="277">
        <v>1.1000000000000001</v>
      </c>
      <c r="E12" s="269">
        <v>540</v>
      </c>
      <c r="F12" s="269">
        <f t="shared" ref="F12:F16" si="0">C12+(D12*E12)</f>
        <v>1517</v>
      </c>
      <c r="G12" s="277">
        <f t="shared" ref="G12:G16" si="1">F12/0.8</f>
        <v>1896.25</v>
      </c>
      <c r="H12" s="277">
        <f t="shared" ref="H12:H16" si="2">IF(G12&gt;610.5,(237.3*LN(G12/610.5))/(17.269-LN(G12/610.5)),(265.5*LN(G12/610.5))/(21.875-LN(G12/610.5)))</f>
        <v>16.667768887999284</v>
      </c>
      <c r="I12" s="277">
        <v>20</v>
      </c>
      <c r="J12" s="277">
        <f t="shared" ref="J12:J16" si="3">((H12-B12)/(I12-B12))</f>
        <v>0.63780096608687864</v>
      </c>
    </row>
    <row r="13" spans="1:15">
      <c r="A13" s="279" t="s">
        <v>206</v>
      </c>
      <c r="B13" s="277">
        <f>'1.Dati'!F43</f>
        <v>12.8</v>
      </c>
      <c r="C13" s="269">
        <f>'1.Dati'!H43</f>
        <v>1011</v>
      </c>
      <c r="D13" s="277">
        <v>1.1000000000000001</v>
      </c>
      <c r="E13" s="269">
        <v>540</v>
      </c>
      <c r="F13" s="269">
        <f t="shared" si="0"/>
        <v>1605</v>
      </c>
      <c r="G13" s="277">
        <f t="shared" si="1"/>
        <v>2006.25</v>
      </c>
      <c r="H13" s="277">
        <f t="shared" si="2"/>
        <v>17.558419740129775</v>
      </c>
      <c r="I13" s="277">
        <v>20</v>
      </c>
      <c r="J13" s="277">
        <f t="shared" si="3"/>
        <v>0.6608916305735798</v>
      </c>
    </row>
    <row r="14" spans="1:15">
      <c r="A14" s="279" t="s">
        <v>207</v>
      </c>
      <c r="B14" s="277">
        <f>'1.Dati'!F44</f>
        <v>15.1</v>
      </c>
      <c r="C14" s="269">
        <f>'1.Dati'!H44</f>
        <v>1180</v>
      </c>
      <c r="D14" s="277">
        <v>1.1000000000000001</v>
      </c>
      <c r="E14" s="269">
        <v>540</v>
      </c>
      <c r="F14" s="269">
        <f t="shared" si="0"/>
        <v>1774</v>
      </c>
      <c r="G14" s="277">
        <f t="shared" si="1"/>
        <v>2217.5</v>
      </c>
      <c r="H14" s="277">
        <f t="shared" si="2"/>
        <v>19.155168332463166</v>
      </c>
      <c r="I14" s="277">
        <v>20</v>
      </c>
      <c r="J14" s="277">
        <f t="shared" si="3"/>
        <v>0.82758537397207477</v>
      </c>
    </row>
    <row r="15" spans="1:15">
      <c r="A15" s="279" t="s">
        <v>214</v>
      </c>
      <c r="B15" s="277">
        <f>'1.Dati'!F51</f>
        <v>15.5</v>
      </c>
      <c r="C15" s="269">
        <f>'1.Dati'!H51</f>
        <v>1259</v>
      </c>
      <c r="D15" s="277">
        <v>1.1000000000000001</v>
      </c>
      <c r="E15" s="269">
        <v>540</v>
      </c>
      <c r="F15" s="269">
        <f t="shared" si="0"/>
        <v>1853</v>
      </c>
      <c r="G15" s="277">
        <f t="shared" si="1"/>
        <v>2316.25</v>
      </c>
      <c r="H15" s="277">
        <f t="shared" si="2"/>
        <v>19.856336161861417</v>
      </c>
      <c r="I15" s="277">
        <v>20</v>
      </c>
      <c r="J15" s="277">
        <f t="shared" si="3"/>
        <v>0.96807470263587048</v>
      </c>
    </row>
    <row r="16" spans="1:15">
      <c r="A16" s="279" t="s">
        <v>215</v>
      </c>
      <c r="B16" s="277">
        <f>'1.Dati'!F52</f>
        <v>11.7</v>
      </c>
      <c r="C16" s="269">
        <f>'1.Dati'!H52</f>
        <v>1151</v>
      </c>
      <c r="D16" s="277">
        <v>1.1000000000000001</v>
      </c>
      <c r="E16" s="269">
        <v>810</v>
      </c>
      <c r="F16" s="269">
        <f t="shared" si="0"/>
        <v>2042</v>
      </c>
      <c r="G16" s="277">
        <f t="shared" si="1"/>
        <v>2552.5</v>
      </c>
      <c r="H16" s="277">
        <f t="shared" si="2"/>
        <v>21.433257759565596</v>
      </c>
      <c r="I16" s="277">
        <v>20</v>
      </c>
      <c r="J16" s="277">
        <f t="shared" si="3"/>
        <v>1.1726816577789874</v>
      </c>
    </row>
    <row r="23" spans="1:30">
      <c r="A23" s="278" t="s">
        <v>0</v>
      </c>
      <c r="B23" s="1620" t="s">
        <v>566</v>
      </c>
      <c r="C23" s="1621"/>
      <c r="D23" s="1621"/>
      <c r="E23" s="1622"/>
      <c r="F23" s="1508"/>
      <c r="G23" s="1402" t="s">
        <v>567</v>
      </c>
      <c r="H23" s="1403"/>
      <c r="I23" s="1403"/>
      <c r="J23" s="1403"/>
      <c r="K23" s="1404"/>
      <c r="L23" s="1352" t="s">
        <v>5</v>
      </c>
      <c r="M23" s="1353"/>
      <c r="N23" s="1352" t="s">
        <v>6</v>
      </c>
      <c r="O23" s="1353"/>
      <c r="P23" s="278" t="s">
        <v>0</v>
      </c>
      <c r="Q23" s="1620" t="s">
        <v>566</v>
      </c>
      <c r="R23" s="1621"/>
      <c r="S23" s="1621"/>
      <c r="T23" s="1622"/>
      <c r="U23" s="1508"/>
      <c r="V23" s="1402" t="s">
        <v>567</v>
      </c>
      <c r="W23" s="1403"/>
      <c r="X23" s="1403"/>
      <c r="Y23" s="1403"/>
      <c r="Z23" s="1404"/>
      <c r="AA23" s="1352" t="s">
        <v>5</v>
      </c>
      <c r="AB23" s="1353"/>
      <c r="AC23" s="1352" t="s">
        <v>6</v>
      </c>
      <c r="AD23" s="1353"/>
    </row>
    <row r="24" spans="1:30" ht="23.5" customHeight="1">
      <c r="A24" s="47">
        <v>14</v>
      </c>
      <c r="B24" s="1511" t="s">
        <v>434</v>
      </c>
      <c r="C24" s="1512"/>
      <c r="D24" s="1512"/>
      <c r="E24" s="1513"/>
      <c r="F24" s="1509"/>
      <c r="G24" s="1414" t="s">
        <v>568</v>
      </c>
      <c r="H24" s="1415"/>
      <c r="I24" s="1415"/>
      <c r="J24" s="1415"/>
      <c r="K24" s="1416"/>
      <c r="L24" s="1391" t="s">
        <v>569</v>
      </c>
      <c r="M24" s="1392"/>
      <c r="N24" s="1391"/>
      <c r="O24" s="1392"/>
      <c r="P24" s="47">
        <v>14</v>
      </c>
      <c r="Q24" s="1511" t="s">
        <v>434</v>
      </c>
      <c r="R24" s="1512"/>
      <c r="S24" s="1512"/>
      <c r="T24" s="1513"/>
      <c r="U24" s="1509"/>
      <c r="V24" s="1414" t="s">
        <v>568</v>
      </c>
      <c r="W24" s="1415"/>
      <c r="X24" s="1415"/>
      <c r="Y24" s="1415"/>
      <c r="Z24" s="1416"/>
      <c r="AA24" s="1391" t="s">
        <v>569</v>
      </c>
      <c r="AB24" s="1392"/>
      <c r="AC24" s="1391"/>
      <c r="AD24" s="1392"/>
    </row>
    <row r="25" spans="1:30">
      <c r="A25" s="48" t="s">
        <v>63</v>
      </c>
      <c r="B25" s="1514"/>
      <c r="C25" s="1515"/>
      <c r="D25" s="1515"/>
      <c r="E25" s="1516"/>
      <c r="F25" s="1510"/>
      <c r="G25" s="1542" t="s">
        <v>572</v>
      </c>
      <c r="H25" s="1543"/>
      <c r="I25" s="1543"/>
      <c r="J25" s="1543"/>
      <c r="K25" s="1544"/>
      <c r="L25" s="1357" t="s">
        <v>570</v>
      </c>
      <c r="M25" s="1358"/>
      <c r="N25" s="1357"/>
      <c r="O25" s="1358"/>
      <c r="P25" s="48" t="s">
        <v>70</v>
      </c>
      <c r="Q25" s="1514"/>
      <c r="R25" s="1515"/>
      <c r="S25" s="1515"/>
      <c r="T25" s="1516"/>
      <c r="U25" s="1510"/>
      <c r="V25" s="1542" t="s">
        <v>572</v>
      </c>
      <c r="W25" s="1543"/>
      <c r="X25" s="1543"/>
      <c r="Y25" s="1543"/>
      <c r="Z25" s="1544"/>
      <c r="AA25" s="1357" t="s">
        <v>570</v>
      </c>
      <c r="AB25" s="1358"/>
      <c r="AC25" s="1357"/>
      <c r="AD25" s="1358"/>
    </row>
    <row r="27" spans="1:30" ht="15" customHeight="1">
      <c r="A27" s="1874" t="s">
        <v>489</v>
      </c>
      <c r="B27" s="1875"/>
      <c r="C27" s="1875"/>
      <c r="D27" s="1875"/>
      <c r="E27" s="1875"/>
      <c r="F27" s="1875"/>
      <c r="G27" s="1875"/>
      <c r="H27" s="1875"/>
      <c r="I27" s="1875"/>
      <c r="J27" s="1875"/>
      <c r="K27" s="1875"/>
      <c r="L27" s="1875"/>
      <c r="M27" s="1875"/>
      <c r="N27" s="1875"/>
      <c r="O27" s="1876"/>
      <c r="P27" s="1874" t="s">
        <v>490</v>
      </c>
      <c r="Q27" s="1875"/>
      <c r="R27" s="1875"/>
      <c r="S27" s="1875"/>
      <c r="T27" s="1875"/>
      <c r="U27" s="1875"/>
      <c r="V27" s="1875"/>
      <c r="W27" s="1875"/>
      <c r="X27" s="1875"/>
      <c r="Y27" s="1875"/>
      <c r="Z27" s="1875"/>
      <c r="AA27" s="1875"/>
      <c r="AB27" s="1875"/>
      <c r="AC27" s="1875"/>
      <c r="AD27" s="1876"/>
    </row>
    <row r="28" spans="1:30" ht="15" customHeight="1">
      <c r="A28" s="1877"/>
      <c r="B28" s="1878"/>
      <c r="C28" s="1878"/>
      <c r="D28" s="1878"/>
      <c r="E28" s="1878"/>
      <c r="F28" s="1878"/>
      <c r="G28" s="1878"/>
      <c r="H28" s="1878"/>
      <c r="I28" s="1878"/>
      <c r="J28" s="1878"/>
      <c r="K28" s="1878"/>
      <c r="L28" s="1878"/>
      <c r="M28" s="1878"/>
      <c r="N28" s="1878"/>
      <c r="O28" s="1879"/>
      <c r="P28" s="1877"/>
      <c r="Q28" s="1878"/>
      <c r="R28" s="1878"/>
      <c r="S28" s="1878"/>
      <c r="T28" s="1878"/>
      <c r="U28" s="1878"/>
      <c r="V28" s="1878"/>
      <c r="W28" s="1878"/>
      <c r="X28" s="1878"/>
      <c r="Y28" s="1878"/>
      <c r="Z28" s="1878"/>
      <c r="AA28" s="1878"/>
      <c r="AB28" s="1878"/>
      <c r="AC28" s="1878"/>
      <c r="AD28" s="1879"/>
    </row>
    <row r="30" spans="1:30" ht="16">
      <c r="A30" s="1425" t="s">
        <v>83</v>
      </c>
      <c r="B30" s="1426"/>
      <c r="C30" s="1426"/>
      <c r="D30" s="1426"/>
      <c r="E30" s="1426"/>
      <c r="F30" s="1426"/>
      <c r="G30" s="1426"/>
      <c r="H30" s="1427"/>
      <c r="I30" s="1446"/>
      <c r="J30" s="1447"/>
      <c r="K30" s="1447"/>
      <c r="L30" s="1447"/>
      <c r="M30" s="1447"/>
      <c r="N30" s="1447"/>
      <c r="O30" s="1448"/>
      <c r="P30" s="1425" t="s">
        <v>84</v>
      </c>
      <c r="Q30" s="1426"/>
      <c r="R30" s="1426"/>
      <c r="S30" s="1426"/>
      <c r="T30" s="1426"/>
      <c r="U30" s="1426"/>
      <c r="V30" s="1426"/>
      <c r="W30" s="1427"/>
      <c r="X30" s="1446"/>
      <c r="Y30" s="1447"/>
      <c r="Z30" s="1447"/>
      <c r="AA30" s="1447"/>
      <c r="AB30" s="1447"/>
      <c r="AC30" s="1447"/>
      <c r="AD30" s="1448"/>
    </row>
    <row r="31" spans="1:30">
      <c r="A31" s="1888" t="s">
        <v>388</v>
      </c>
      <c r="B31" s="1467" t="s">
        <v>393</v>
      </c>
      <c r="C31" s="1468"/>
      <c r="D31" s="1469"/>
      <c r="E31" s="266" t="s">
        <v>59</v>
      </c>
      <c r="F31" s="280" t="s">
        <v>58</v>
      </c>
      <c r="G31" s="1793" t="s">
        <v>220</v>
      </c>
      <c r="H31" s="1794"/>
      <c r="I31" s="1449"/>
      <c r="J31" s="1450"/>
      <c r="K31" s="1450"/>
      <c r="L31" s="1450"/>
      <c r="M31" s="1450"/>
      <c r="N31" s="1450"/>
      <c r="O31" s="1451"/>
      <c r="P31" s="1455" t="s">
        <v>389</v>
      </c>
      <c r="Q31" s="1467" t="s">
        <v>393</v>
      </c>
      <c r="R31" s="1468"/>
      <c r="S31" s="1469"/>
      <c r="T31" s="266" t="s">
        <v>59</v>
      </c>
      <c r="U31" s="280" t="s">
        <v>58</v>
      </c>
      <c r="V31" s="1793" t="s">
        <v>220</v>
      </c>
      <c r="W31" s="1794"/>
      <c r="X31" s="1449"/>
      <c r="Y31" s="1450"/>
      <c r="Z31" s="1450"/>
      <c r="AA31" s="1450"/>
      <c r="AB31" s="1450"/>
      <c r="AC31" s="1450"/>
      <c r="AD31" s="1451"/>
    </row>
    <row r="32" spans="1:30" ht="17">
      <c r="A32" s="1883"/>
      <c r="B32" s="1885" t="s">
        <v>394</v>
      </c>
      <c r="C32" s="1886"/>
      <c r="D32" s="1887"/>
      <c r="E32" s="254" t="s">
        <v>41</v>
      </c>
      <c r="F32" s="179" t="s">
        <v>42</v>
      </c>
      <c r="G32" s="173" t="s">
        <v>468</v>
      </c>
      <c r="H32" s="173" t="s">
        <v>467</v>
      </c>
      <c r="I32" s="1449"/>
      <c r="J32" s="1450"/>
      <c r="K32" s="1450"/>
      <c r="L32" s="1450"/>
      <c r="M32" s="1450"/>
      <c r="N32" s="1450"/>
      <c r="O32" s="1451"/>
      <c r="P32" s="1456"/>
      <c r="Q32" s="1885" t="s">
        <v>394</v>
      </c>
      <c r="R32" s="1886"/>
      <c r="S32" s="1887"/>
      <c r="T32" s="254" t="s">
        <v>41</v>
      </c>
      <c r="U32" s="179" t="s">
        <v>42</v>
      </c>
      <c r="V32" s="173" t="s">
        <v>43</v>
      </c>
      <c r="W32" s="173" t="s">
        <v>467</v>
      </c>
      <c r="X32" s="1449"/>
      <c r="Y32" s="1450"/>
      <c r="Z32" s="1450"/>
      <c r="AA32" s="1450"/>
      <c r="AB32" s="1450"/>
      <c r="AC32" s="1450"/>
      <c r="AD32" s="1451"/>
    </row>
    <row r="33" spans="1:30">
      <c r="A33" s="1456"/>
      <c r="B33" s="1885"/>
      <c r="C33" s="1886"/>
      <c r="D33" s="1887"/>
      <c r="E33" s="271" t="s">
        <v>31</v>
      </c>
      <c r="F33" s="271" t="s">
        <v>44</v>
      </c>
      <c r="G33" s="174" t="s">
        <v>45</v>
      </c>
      <c r="H33" s="174" t="s">
        <v>45</v>
      </c>
      <c r="I33" s="1449"/>
      <c r="J33" s="1450"/>
      <c r="K33" s="1450"/>
      <c r="L33" s="1450"/>
      <c r="M33" s="1450"/>
      <c r="N33" s="1450"/>
      <c r="O33" s="1451"/>
      <c r="P33" s="1456"/>
      <c r="Q33" s="1885"/>
      <c r="R33" s="1886"/>
      <c r="S33" s="1887"/>
      <c r="T33" s="271" t="s">
        <v>31</v>
      </c>
      <c r="U33" s="271" t="s">
        <v>44</v>
      </c>
      <c r="V33" s="174" t="s">
        <v>45</v>
      </c>
      <c r="W33" s="174" t="s">
        <v>45</v>
      </c>
      <c r="X33" s="1449"/>
      <c r="Y33" s="1450"/>
      <c r="Z33" s="1450"/>
      <c r="AA33" s="1450"/>
      <c r="AB33" s="1450"/>
      <c r="AC33" s="1450"/>
      <c r="AD33" s="1451"/>
    </row>
    <row r="34" spans="1:30" ht="16">
      <c r="A34" s="1883"/>
      <c r="B34" s="1458" t="s">
        <v>54</v>
      </c>
      <c r="C34" s="1459"/>
      <c r="D34" s="292" t="s">
        <v>390</v>
      </c>
      <c r="E34" s="250" t="s">
        <v>24</v>
      </c>
      <c r="F34" s="263" t="s">
        <v>24</v>
      </c>
      <c r="G34" s="272">
        <v>0.04</v>
      </c>
      <c r="H34" s="263">
        <f>G34</f>
        <v>0.04</v>
      </c>
      <c r="I34" s="1449"/>
      <c r="J34" s="1450"/>
      <c r="K34" s="1450"/>
      <c r="L34" s="1450"/>
      <c r="M34" s="1450"/>
      <c r="N34" s="1450"/>
      <c r="O34" s="1451"/>
      <c r="P34" s="1883"/>
      <c r="Q34" s="1458" t="s">
        <v>54</v>
      </c>
      <c r="R34" s="1459"/>
      <c r="S34" s="292" t="s">
        <v>390</v>
      </c>
      <c r="T34" s="250" t="s">
        <v>24</v>
      </c>
      <c r="U34" s="263" t="s">
        <v>24</v>
      </c>
      <c r="V34" s="272">
        <v>0.04</v>
      </c>
      <c r="W34" s="263">
        <f>V34</f>
        <v>0.04</v>
      </c>
      <c r="X34" s="1449"/>
      <c r="Y34" s="1450"/>
      <c r="Z34" s="1450"/>
      <c r="AA34" s="1450"/>
      <c r="AB34" s="1450"/>
      <c r="AC34" s="1450"/>
      <c r="AD34" s="1451"/>
    </row>
    <row r="35" spans="1:30">
      <c r="A35" s="1883"/>
      <c r="B35" s="1431" t="s">
        <v>46</v>
      </c>
      <c r="C35" s="1432"/>
      <c r="D35" s="137">
        <v>1</v>
      </c>
      <c r="E35" s="251">
        <v>0.12</v>
      </c>
      <c r="F35" s="264" t="s">
        <v>24</v>
      </c>
      <c r="G35" s="273">
        <v>0.15</v>
      </c>
      <c r="H35" s="264">
        <f>G35+H34</f>
        <v>0.19</v>
      </c>
      <c r="I35" s="1449"/>
      <c r="J35" s="1450"/>
      <c r="K35" s="1450"/>
      <c r="L35" s="1450"/>
      <c r="M35" s="1450"/>
      <c r="N35" s="1450"/>
      <c r="O35" s="1451"/>
      <c r="P35" s="1883"/>
      <c r="Q35" s="1431" t="s">
        <v>46</v>
      </c>
      <c r="R35" s="1432"/>
      <c r="S35" s="137">
        <v>1</v>
      </c>
      <c r="T35" s="251">
        <v>0.12</v>
      </c>
      <c r="U35" s="264" t="s">
        <v>24</v>
      </c>
      <c r="V35" s="273">
        <v>0.15</v>
      </c>
      <c r="W35" s="264">
        <f>V35+W34</f>
        <v>0.19</v>
      </c>
      <c r="X35" s="1449"/>
      <c r="Y35" s="1450"/>
      <c r="Z35" s="1450"/>
      <c r="AA35" s="1450"/>
      <c r="AB35" s="1450"/>
      <c r="AC35" s="1450"/>
      <c r="AD35" s="1451"/>
    </row>
    <row r="36" spans="1:30">
      <c r="A36" s="1883"/>
      <c r="B36" s="1431" t="s">
        <v>48</v>
      </c>
      <c r="C36" s="1432"/>
      <c r="D36" s="137">
        <v>2</v>
      </c>
      <c r="E36" s="251">
        <v>1.4999999999999999E-2</v>
      </c>
      <c r="F36" s="264" t="s">
        <v>24</v>
      </c>
      <c r="G36" s="273">
        <v>0.17</v>
      </c>
      <c r="H36" s="264">
        <f>G36+H35</f>
        <v>0.36</v>
      </c>
      <c r="I36" s="1449"/>
      <c r="J36" s="1450"/>
      <c r="K36" s="1450"/>
      <c r="L36" s="1450"/>
      <c r="M36" s="1450"/>
      <c r="N36" s="1450"/>
      <c r="O36" s="1451"/>
      <c r="P36" s="1883"/>
      <c r="Q36" s="1431" t="s">
        <v>48</v>
      </c>
      <c r="R36" s="1432"/>
      <c r="S36" s="137">
        <v>2</v>
      </c>
      <c r="T36" s="251">
        <v>1.4999999999999999E-2</v>
      </c>
      <c r="U36" s="264" t="s">
        <v>24</v>
      </c>
      <c r="V36" s="273">
        <v>0.17</v>
      </c>
      <c r="W36" s="264">
        <f t="shared" ref="W36:W41" si="4">V36+W35</f>
        <v>0.36</v>
      </c>
      <c r="X36" s="1449"/>
      <c r="Y36" s="1450"/>
      <c r="Z36" s="1450"/>
      <c r="AA36" s="1450"/>
      <c r="AB36" s="1450"/>
      <c r="AC36" s="1450"/>
      <c r="AD36" s="1451"/>
    </row>
    <row r="37" spans="1:30">
      <c r="A37" s="1883"/>
      <c r="B37" s="1431" t="s">
        <v>50</v>
      </c>
      <c r="C37" s="1432"/>
      <c r="D37" s="137">
        <v>3</v>
      </c>
      <c r="E37" s="251">
        <v>0.04</v>
      </c>
      <c r="F37" s="264" t="s">
        <v>24</v>
      </c>
      <c r="G37" s="273">
        <v>0.11</v>
      </c>
      <c r="H37" s="264">
        <f t="shared" ref="H37:H41" si="5">G37+H36</f>
        <v>0.47</v>
      </c>
      <c r="I37" s="1449"/>
      <c r="J37" s="1450"/>
      <c r="K37" s="1450"/>
      <c r="L37" s="1450"/>
      <c r="M37" s="1450"/>
      <c r="N37" s="1450"/>
      <c r="O37" s="1451"/>
      <c r="P37" s="1883"/>
      <c r="Q37" s="1431" t="s">
        <v>50</v>
      </c>
      <c r="R37" s="1432"/>
      <c r="S37" s="137">
        <v>3</v>
      </c>
      <c r="T37" s="251">
        <v>0.04</v>
      </c>
      <c r="U37" s="264" t="s">
        <v>24</v>
      </c>
      <c r="V37" s="273">
        <v>0.11</v>
      </c>
      <c r="W37" s="264">
        <f t="shared" si="4"/>
        <v>0.47</v>
      </c>
      <c r="X37" s="1449"/>
      <c r="Y37" s="1450"/>
      <c r="Z37" s="1450"/>
      <c r="AA37" s="1450"/>
      <c r="AB37" s="1450"/>
      <c r="AC37" s="1450"/>
      <c r="AD37" s="1451"/>
    </row>
    <row r="38" spans="1:30">
      <c r="A38" s="1883"/>
      <c r="B38" s="1431" t="s">
        <v>48</v>
      </c>
      <c r="C38" s="1432"/>
      <c r="D38" s="137">
        <v>4</v>
      </c>
      <c r="E38" s="251">
        <v>1.4999999999999999E-2</v>
      </c>
      <c r="F38" s="264" t="s">
        <v>24</v>
      </c>
      <c r="G38" s="273">
        <v>0.17</v>
      </c>
      <c r="H38" s="264">
        <f t="shared" si="5"/>
        <v>0.64</v>
      </c>
      <c r="I38" s="1449"/>
      <c r="J38" s="1450"/>
      <c r="K38" s="1450"/>
      <c r="L38" s="1450"/>
      <c r="M38" s="1450"/>
      <c r="N38" s="1450"/>
      <c r="O38" s="1451"/>
      <c r="P38" s="1883"/>
      <c r="Q38" s="1431" t="s">
        <v>48</v>
      </c>
      <c r="R38" s="1432"/>
      <c r="S38" s="137">
        <v>4</v>
      </c>
      <c r="T38" s="251">
        <v>1.4999999999999999E-2</v>
      </c>
      <c r="U38" s="264" t="s">
        <v>24</v>
      </c>
      <c r="V38" s="273">
        <v>0.17</v>
      </c>
      <c r="W38" s="264">
        <f t="shared" si="4"/>
        <v>0.64</v>
      </c>
      <c r="X38" s="1449"/>
      <c r="Y38" s="1450"/>
      <c r="Z38" s="1450"/>
      <c r="AA38" s="1450"/>
      <c r="AB38" s="1450"/>
      <c r="AC38" s="1450"/>
      <c r="AD38" s="1451"/>
    </row>
    <row r="39" spans="1:30">
      <c r="A39" s="1883"/>
      <c r="B39" s="1431" t="s">
        <v>51</v>
      </c>
      <c r="C39" s="1432"/>
      <c r="D39" s="137">
        <v>5</v>
      </c>
      <c r="E39" s="251">
        <v>0.45</v>
      </c>
      <c r="F39" s="264">
        <v>0.63</v>
      </c>
      <c r="G39" s="273">
        <f>E39/F39</f>
        <v>0.7142857142857143</v>
      </c>
      <c r="H39" s="264">
        <f t="shared" si="5"/>
        <v>1.3542857142857143</v>
      </c>
      <c r="I39" s="1452"/>
      <c r="J39" s="1453"/>
      <c r="K39" s="1453"/>
      <c r="L39" s="1453"/>
      <c r="M39" s="1453"/>
      <c r="N39" s="1453"/>
      <c r="O39" s="1454"/>
      <c r="P39" s="1883"/>
      <c r="Q39" s="1431" t="s">
        <v>51</v>
      </c>
      <c r="R39" s="1432"/>
      <c r="S39" s="137">
        <v>5</v>
      </c>
      <c r="T39" s="251">
        <v>0.3</v>
      </c>
      <c r="U39" s="264">
        <v>0.63</v>
      </c>
      <c r="V39" s="273">
        <f>T39/U39</f>
        <v>0.47619047619047616</v>
      </c>
      <c r="W39" s="264">
        <f t="shared" si="4"/>
        <v>1.1161904761904762</v>
      </c>
      <c r="X39" s="1452"/>
      <c r="Y39" s="1453"/>
      <c r="Z39" s="1453"/>
      <c r="AA39" s="1453"/>
      <c r="AB39" s="1453"/>
      <c r="AC39" s="1453"/>
      <c r="AD39" s="1454"/>
    </row>
    <row r="40" spans="1:30" ht="16">
      <c r="A40" s="1883"/>
      <c r="B40" s="1431" t="s">
        <v>52</v>
      </c>
      <c r="C40" s="1432"/>
      <c r="D40" s="137">
        <v>6</v>
      </c>
      <c r="E40" s="251">
        <v>0.03</v>
      </c>
      <c r="F40" s="264">
        <v>0.7</v>
      </c>
      <c r="G40" s="273">
        <f>E40/F40</f>
        <v>4.2857142857142858E-2</v>
      </c>
      <c r="H40" s="264">
        <f t="shared" si="5"/>
        <v>1.3971428571428572</v>
      </c>
      <c r="I40" s="1461" t="s">
        <v>60</v>
      </c>
      <c r="J40" s="1462"/>
      <c r="K40" s="1462"/>
      <c r="L40" s="1463"/>
      <c r="M40" s="252" t="s">
        <v>395</v>
      </c>
      <c r="N40" s="281">
        <f>SUM(G34:G41)</f>
        <v>1.5271428571428571</v>
      </c>
      <c r="O40" s="275" t="s">
        <v>45</v>
      </c>
      <c r="P40" s="1883"/>
      <c r="Q40" s="1431" t="s">
        <v>52</v>
      </c>
      <c r="R40" s="1432"/>
      <c r="S40" s="137">
        <v>6</v>
      </c>
      <c r="T40" s="251">
        <v>0.03</v>
      </c>
      <c r="U40" s="264">
        <v>0.7</v>
      </c>
      <c r="V40" s="273">
        <f>T40/U40</f>
        <v>4.2857142857142858E-2</v>
      </c>
      <c r="W40" s="264">
        <f t="shared" si="4"/>
        <v>1.1590476190476191</v>
      </c>
      <c r="X40" s="1461" t="s">
        <v>60</v>
      </c>
      <c r="Y40" s="1462"/>
      <c r="Z40" s="1462"/>
      <c r="AA40" s="1463"/>
      <c r="AB40" s="252" t="s">
        <v>395</v>
      </c>
      <c r="AC40" s="281">
        <f>SUM(V34:V41)</f>
        <v>1.289047619047619</v>
      </c>
      <c r="AD40" s="275" t="s">
        <v>45</v>
      </c>
    </row>
    <row r="41" spans="1:30" ht="16">
      <c r="A41" s="1884"/>
      <c r="B41" s="1428" t="s">
        <v>55</v>
      </c>
      <c r="C41" s="1429"/>
      <c r="D41" s="249" t="s">
        <v>391</v>
      </c>
      <c r="E41" s="268" t="s">
        <v>24</v>
      </c>
      <c r="F41" s="265" t="s">
        <v>24</v>
      </c>
      <c r="G41" s="274">
        <v>0.13</v>
      </c>
      <c r="H41" s="265">
        <f t="shared" si="5"/>
        <v>1.5271428571428571</v>
      </c>
      <c r="I41" s="1880" t="s">
        <v>61</v>
      </c>
      <c r="J41" s="1881"/>
      <c r="K41" s="1881"/>
      <c r="L41" s="1882"/>
      <c r="M41" s="253" t="s">
        <v>396</v>
      </c>
      <c r="N41" s="227">
        <f>1/N40</f>
        <v>0.65481758652946676</v>
      </c>
      <c r="O41" s="276" t="s">
        <v>56</v>
      </c>
      <c r="P41" s="1884"/>
      <c r="Q41" s="1428" t="s">
        <v>55</v>
      </c>
      <c r="R41" s="1429"/>
      <c r="S41" s="249" t="s">
        <v>391</v>
      </c>
      <c r="T41" s="268" t="s">
        <v>24</v>
      </c>
      <c r="U41" s="265" t="s">
        <v>24</v>
      </c>
      <c r="V41" s="274">
        <v>0.13</v>
      </c>
      <c r="W41" s="265">
        <f t="shared" si="4"/>
        <v>1.289047619047619</v>
      </c>
      <c r="X41" s="1880" t="s">
        <v>61</v>
      </c>
      <c r="Y41" s="1881"/>
      <c r="Z41" s="1881"/>
      <c r="AA41" s="1882"/>
      <c r="AB41" s="253" t="s">
        <v>396</v>
      </c>
      <c r="AC41" s="227">
        <f>1/AC40</f>
        <v>0.77576653121536765</v>
      </c>
      <c r="AD41" s="276" t="s">
        <v>56</v>
      </c>
    </row>
    <row r="45" spans="1:30" ht="17">
      <c r="A45" s="287" t="s">
        <v>202</v>
      </c>
      <c r="B45" s="287" t="s">
        <v>460</v>
      </c>
      <c r="C45" s="287" t="s">
        <v>451</v>
      </c>
      <c r="D45" s="287" t="s">
        <v>395</v>
      </c>
      <c r="E45" s="287" t="s">
        <v>464</v>
      </c>
      <c r="F45" s="288" t="s">
        <v>454</v>
      </c>
      <c r="G45" s="287" t="s">
        <v>466</v>
      </c>
      <c r="P45" s="287" t="s">
        <v>202</v>
      </c>
      <c r="Q45" s="287" t="s">
        <v>460</v>
      </c>
      <c r="R45" s="287" t="s">
        <v>451</v>
      </c>
      <c r="S45" s="287" t="s">
        <v>395</v>
      </c>
      <c r="T45" s="287" t="s">
        <v>464</v>
      </c>
      <c r="U45" s="288" t="s">
        <v>454</v>
      </c>
      <c r="V45" s="287" t="s">
        <v>466</v>
      </c>
    </row>
    <row r="46" spans="1:30" ht="17">
      <c r="A46" s="293" t="s">
        <v>24</v>
      </c>
      <c r="B46" s="293" t="s">
        <v>351</v>
      </c>
      <c r="C46" s="293" t="s">
        <v>351</v>
      </c>
      <c r="D46" s="293" t="s">
        <v>285</v>
      </c>
      <c r="E46" s="293" t="s">
        <v>465</v>
      </c>
      <c r="F46" s="293" t="s">
        <v>443</v>
      </c>
      <c r="G46" s="293" t="s">
        <v>351</v>
      </c>
      <c r="P46" s="293" t="s">
        <v>24</v>
      </c>
      <c r="Q46" s="293" t="s">
        <v>351</v>
      </c>
      <c r="R46" s="293" t="s">
        <v>351</v>
      </c>
      <c r="S46" s="293" t="s">
        <v>285</v>
      </c>
      <c r="T46" s="293" t="s">
        <v>465</v>
      </c>
      <c r="U46" s="293" t="s">
        <v>443</v>
      </c>
      <c r="V46" s="293" t="s">
        <v>351</v>
      </c>
    </row>
    <row r="47" spans="1:30">
      <c r="A47" s="279" t="s">
        <v>204</v>
      </c>
      <c r="B47" s="277">
        <f>I11</f>
        <v>20</v>
      </c>
      <c r="C47" s="277">
        <f>B11</f>
        <v>10.3</v>
      </c>
      <c r="D47" s="277">
        <f>$N$40</f>
        <v>1.5271428571428571</v>
      </c>
      <c r="E47" s="277">
        <f>(B47-C47)/D47</f>
        <v>6.3517305893358271</v>
      </c>
      <c r="F47" s="277">
        <f>F11</f>
        <v>1864</v>
      </c>
      <c r="G47" s="277">
        <f>IF(F47&gt;610.5,(237.3*LN(F47/610.5))/(17.269-LN(F47/610.5)),(265.5*LN(F47/610.5))/(21.875-LN(F47/610.5)))</f>
        <v>16.398066695351588</v>
      </c>
      <c r="H47" s="86"/>
      <c r="I47" s="86"/>
      <c r="J47" s="86"/>
      <c r="K47" s="86"/>
      <c r="L47" s="86"/>
      <c r="M47" s="86"/>
      <c r="N47" s="86"/>
      <c r="O47" s="86"/>
      <c r="P47" s="279" t="s">
        <v>204</v>
      </c>
      <c r="Q47" s="277">
        <f>I11</f>
        <v>20</v>
      </c>
      <c r="R47" s="277">
        <f>B11</f>
        <v>10.3</v>
      </c>
      <c r="S47" s="277">
        <f>$AC$40</f>
        <v>1.289047619047619</v>
      </c>
      <c r="T47" s="277">
        <f>(Q47-R47)/S47</f>
        <v>7.5249353527890648</v>
      </c>
      <c r="U47" s="277">
        <f>F11</f>
        <v>1864</v>
      </c>
      <c r="V47" s="277">
        <f>IF(U47&gt;610.5,(237.3*LN(U47/610.5))/(17.269-LN(U47/610.5)),(265.5*LN(U47/610.5))/(21.875-LN(U47/610.5)))</f>
        <v>16.398066695351588</v>
      </c>
    </row>
    <row r="48" spans="1:30">
      <c r="A48" s="279" t="s">
        <v>205</v>
      </c>
      <c r="B48" s="277">
        <f>I12</f>
        <v>20</v>
      </c>
      <c r="C48" s="277">
        <f>B12</f>
        <v>10.8</v>
      </c>
      <c r="D48" s="277">
        <f t="shared" ref="D48:D52" si="6">$N$40</f>
        <v>1.5271428571428571</v>
      </c>
      <c r="E48" s="277">
        <f t="shared" ref="E48:E52" si="7">(B48-C48)/D48</f>
        <v>6.024321796071094</v>
      </c>
      <c r="F48" s="277">
        <f>F12</f>
        <v>1517</v>
      </c>
      <c r="G48" s="277">
        <f t="shared" ref="G48:G52" si="8">IF(F48&gt;610.5,(237.3*LN(F48/610.5))/(17.269-LN(F48/610.5)),(265.5*LN(F48/610.5))/(21.875-LN(F48/610.5)))</f>
        <v>13.203498259849262</v>
      </c>
      <c r="H48" s="86"/>
      <c r="I48" s="86"/>
      <c r="J48" s="86"/>
      <c r="K48" s="86"/>
      <c r="L48" s="86"/>
      <c r="M48" s="86"/>
      <c r="N48" s="86"/>
      <c r="O48" s="86"/>
      <c r="P48" s="279" t="s">
        <v>205</v>
      </c>
      <c r="Q48" s="277">
        <f>I12</f>
        <v>20</v>
      </c>
      <c r="R48" s="277">
        <f>B12</f>
        <v>10.8</v>
      </c>
      <c r="S48" s="277">
        <f t="shared" ref="S48:S52" si="9">$AC$40</f>
        <v>1.289047619047619</v>
      </c>
      <c r="T48" s="277">
        <f t="shared" ref="T48:T52" si="10">(Q48-R48)/S48</f>
        <v>7.137052087181381</v>
      </c>
      <c r="U48" s="277">
        <f>F12</f>
        <v>1517</v>
      </c>
      <c r="V48" s="277">
        <f t="shared" ref="V48:V52" si="11">IF(U48&gt;610.5,(237.3*LN(U48/610.5))/(17.269-LN(U48/610.5)),(265.5*LN(U48/610.5))/(21.875-LN(U48/610.5)))</f>
        <v>13.203498259849262</v>
      </c>
    </row>
    <row r="49" spans="1:30">
      <c r="A49" s="279" t="s">
        <v>206</v>
      </c>
      <c r="B49" s="277">
        <f>I13</f>
        <v>20</v>
      </c>
      <c r="C49" s="277">
        <f>B13</f>
        <v>12.8</v>
      </c>
      <c r="D49" s="277">
        <f t="shared" si="6"/>
        <v>1.5271428571428571</v>
      </c>
      <c r="E49" s="277">
        <f t="shared" si="7"/>
        <v>4.7146866230121605</v>
      </c>
      <c r="F49" s="277">
        <f>F13</f>
        <v>1605</v>
      </c>
      <c r="G49" s="277">
        <f t="shared" si="8"/>
        <v>14.069975372943814</v>
      </c>
      <c r="H49" s="86"/>
      <c r="I49" s="86"/>
      <c r="J49" s="86"/>
      <c r="K49" s="86"/>
      <c r="L49" s="86"/>
      <c r="M49" s="86"/>
      <c r="N49" s="86"/>
      <c r="O49" s="86"/>
      <c r="P49" s="279" t="s">
        <v>206</v>
      </c>
      <c r="Q49" s="277">
        <f>I13</f>
        <v>20</v>
      </c>
      <c r="R49" s="277">
        <f>B13</f>
        <v>12.8</v>
      </c>
      <c r="S49" s="277">
        <f t="shared" si="9"/>
        <v>1.289047619047619</v>
      </c>
      <c r="T49" s="277">
        <f t="shared" si="10"/>
        <v>5.5855190247506465</v>
      </c>
      <c r="U49" s="277">
        <f>F13</f>
        <v>1605</v>
      </c>
      <c r="V49" s="277">
        <f t="shared" si="11"/>
        <v>14.069975372943814</v>
      </c>
    </row>
    <row r="50" spans="1:30">
      <c r="A50" s="279" t="s">
        <v>207</v>
      </c>
      <c r="B50" s="277">
        <f>I14</f>
        <v>20</v>
      </c>
      <c r="C50" s="277">
        <f>B14</f>
        <v>15.1</v>
      </c>
      <c r="D50" s="277">
        <f t="shared" si="6"/>
        <v>1.5271428571428571</v>
      </c>
      <c r="E50" s="277">
        <f t="shared" si="7"/>
        <v>3.2086061739943874</v>
      </c>
      <c r="F50" s="277">
        <f>F14</f>
        <v>1774</v>
      </c>
      <c r="G50" s="277">
        <f t="shared" si="8"/>
        <v>15.623178059422409</v>
      </c>
      <c r="H50" s="86"/>
      <c r="I50" s="86"/>
      <c r="J50" s="86"/>
      <c r="K50" s="86"/>
      <c r="L50" s="86"/>
      <c r="M50" s="86"/>
      <c r="N50" s="86"/>
      <c r="O50" s="86"/>
      <c r="P50" s="279" t="s">
        <v>207</v>
      </c>
      <c r="Q50" s="277">
        <f>I14</f>
        <v>20</v>
      </c>
      <c r="R50" s="277">
        <f>B14</f>
        <v>15.1</v>
      </c>
      <c r="S50" s="277">
        <f t="shared" si="9"/>
        <v>1.289047619047619</v>
      </c>
      <c r="T50" s="277">
        <f t="shared" si="10"/>
        <v>3.8012560029553013</v>
      </c>
      <c r="U50" s="277">
        <f>F14</f>
        <v>1774</v>
      </c>
      <c r="V50" s="277">
        <f t="shared" si="11"/>
        <v>15.623178059422409</v>
      </c>
    </row>
    <row r="51" spans="1:30">
      <c r="A51" s="279" t="s">
        <v>214</v>
      </c>
      <c r="B51" s="277">
        <f t="shared" ref="B51:B52" si="12">I15</f>
        <v>20</v>
      </c>
      <c r="C51" s="277">
        <f t="shared" ref="C51:C52" si="13">B15</f>
        <v>15.5</v>
      </c>
      <c r="D51" s="277">
        <f t="shared" si="6"/>
        <v>1.5271428571428571</v>
      </c>
      <c r="E51" s="277">
        <f t="shared" si="7"/>
        <v>2.9466791393826006</v>
      </c>
      <c r="F51" s="277">
        <f t="shared" ref="F51:F52" si="14">F15</f>
        <v>1853</v>
      </c>
      <c r="G51" s="277">
        <f t="shared" si="8"/>
        <v>16.305139748480585</v>
      </c>
      <c r="H51" s="86"/>
      <c r="I51" s="86"/>
      <c r="J51" s="86"/>
      <c r="K51" s="86"/>
      <c r="L51" s="86"/>
      <c r="M51" s="86"/>
      <c r="N51" s="86"/>
      <c r="O51" s="86"/>
      <c r="P51" s="279" t="s">
        <v>214</v>
      </c>
      <c r="Q51" s="277">
        <f t="shared" ref="Q51:Q52" si="15">I15</f>
        <v>20</v>
      </c>
      <c r="R51" s="277">
        <f t="shared" ref="R51:R52" si="16">B15</f>
        <v>15.5</v>
      </c>
      <c r="S51" s="277">
        <f t="shared" si="9"/>
        <v>1.289047619047619</v>
      </c>
      <c r="T51" s="277">
        <f t="shared" si="10"/>
        <v>3.490949390469154</v>
      </c>
      <c r="U51" s="277">
        <f t="shared" ref="U51:U52" si="17">F15</f>
        <v>1853</v>
      </c>
      <c r="V51" s="277">
        <f t="shared" si="11"/>
        <v>16.305139748480585</v>
      </c>
    </row>
    <row r="52" spans="1:30">
      <c r="A52" s="279" t="s">
        <v>215</v>
      </c>
      <c r="B52" s="277">
        <f t="shared" si="12"/>
        <v>20</v>
      </c>
      <c r="C52" s="277">
        <f t="shared" si="13"/>
        <v>11.7</v>
      </c>
      <c r="D52" s="277">
        <f t="shared" si="6"/>
        <v>1.5271428571428571</v>
      </c>
      <c r="E52" s="277">
        <f t="shared" si="7"/>
        <v>5.4349859681945745</v>
      </c>
      <c r="F52" s="277">
        <f t="shared" si="14"/>
        <v>2042</v>
      </c>
      <c r="G52" s="277">
        <f t="shared" si="8"/>
        <v>17.838679256686799</v>
      </c>
      <c r="H52" s="86"/>
      <c r="I52" s="86"/>
      <c r="J52" s="86"/>
      <c r="K52" s="86"/>
      <c r="L52" s="86"/>
      <c r="M52" s="86"/>
      <c r="N52" s="86"/>
      <c r="O52" s="86"/>
      <c r="P52" s="279" t="s">
        <v>215</v>
      </c>
      <c r="Q52" s="277">
        <f t="shared" si="15"/>
        <v>20</v>
      </c>
      <c r="R52" s="277">
        <f t="shared" si="16"/>
        <v>11.7</v>
      </c>
      <c r="S52" s="277">
        <f t="shared" si="9"/>
        <v>1.289047619047619</v>
      </c>
      <c r="T52" s="277">
        <f t="shared" si="10"/>
        <v>6.438862209087552</v>
      </c>
      <c r="U52" s="277">
        <f t="shared" si="17"/>
        <v>2042</v>
      </c>
      <c r="V52" s="277">
        <f t="shared" si="11"/>
        <v>17.838679256686799</v>
      </c>
    </row>
    <row r="53" spans="1:30">
      <c r="A53" s="294"/>
      <c r="B53" s="138"/>
      <c r="C53" s="138"/>
      <c r="D53" s="138"/>
      <c r="E53" s="138"/>
      <c r="F53" s="138"/>
      <c r="G53" s="138"/>
      <c r="H53" s="86"/>
      <c r="I53" s="86"/>
      <c r="J53" s="86"/>
      <c r="K53" s="86"/>
      <c r="L53" s="86"/>
      <c r="M53" s="86"/>
      <c r="N53" s="86"/>
      <c r="O53" s="86"/>
    </row>
    <row r="54" spans="1:30">
      <c r="A54" s="294"/>
      <c r="B54" s="138"/>
      <c r="C54" s="138"/>
      <c r="D54" s="138"/>
      <c r="E54" s="138"/>
      <c r="F54" s="138"/>
      <c r="G54" s="138"/>
      <c r="H54" s="86"/>
      <c r="I54" s="86"/>
      <c r="J54" s="86"/>
      <c r="K54" s="86"/>
      <c r="L54" s="86"/>
      <c r="M54" s="86"/>
      <c r="N54" s="86"/>
      <c r="O54" s="86"/>
    </row>
    <row r="55" spans="1:30">
      <c r="A55" s="278" t="s">
        <v>0</v>
      </c>
      <c r="B55" s="1620" t="s">
        <v>566</v>
      </c>
      <c r="C55" s="1621"/>
      <c r="D55" s="1621"/>
      <c r="E55" s="1622"/>
      <c r="F55" s="1508"/>
      <c r="G55" s="1402" t="s">
        <v>567</v>
      </c>
      <c r="H55" s="1403"/>
      <c r="I55" s="1403"/>
      <c r="J55" s="1403"/>
      <c r="K55" s="1404"/>
      <c r="L55" s="1352" t="s">
        <v>5</v>
      </c>
      <c r="M55" s="1353"/>
      <c r="N55" s="1352" t="s">
        <v>6</v>
      </c>
      <c r="O55" s="1353"/>
      <c r="P55" s="278" t="s">
        <v>0</v>
      </c>
      <c r="Q55" s="1620" t="s">
        <v>566</v>
      </c>
      <c r="R55" s="1621"/>
      <c r="S55" s="1621"/>
      <c r="T55" s="1622"/>
      <c r="U55" s="1508"/>
      <c r="V55" s="1402" t="s">
        <v>567</v>
      </c>
      <c r="W55" s="1403"/>
      <c r="X55" s="1403"/>
      <c r="Y55" s="1403"/>
      <c r="Z55" s="1404"/>
      <c r="AA55" s="1352" t="s">
        <v>5</v>
      </c>
      <c r="AB55" s="1353"/>
      <c r="AC55" s="1352" t="s">
        <v>6</v>
      </c>
      <c r="AD55" s="1353"/>
    </row>
    <row r="56" spans="1:30" ht="23.5" customHeight="1">
      <c r="A56" s="47">
        <v>14</v>
      </c>
      <c r="B56" s="1511" t="s">
        <v>434</v>
      </c>
      <c r="C56" s="1512"/>
      <c r="D56" s="1512"/>
      <c r="E56" s="1513"/>
      <c r="F56" s="1509"/>
      <c r="G56" s="1414" t="s">
        <v>568</v>
      </c>
      <c r="H56" s="1415"/>
      <c r="I56" s="1415"/>
      <c r="J56" s="1415"/>
      <c r="K56" s="1416"/>
      <c r="L56" s="1391" t="s">
        <v>569</v>
      </c>
      <c r="M56" s="1392"/>
      <c r="N56" s="1391"/>
      <c r="O56" s="1392"/>
      <c r="P56" s="47">
        <v>14</v>
      </c>
      <c r="Q56" s="1511" t="s">
        <v>434</v>
      </c>
      <c r="R56" s="1512"/>
      <c r="S56" s="1512"/>
      <c r="T56" s="1513"/>
      <c r="U56" s="1509"/>
      <c r="V56" s="1414" t="s">
        <v>568</v>
      </c>
      <c r="W56" s="1415"/>
      <c r="X56" s="1415"/>
      <c r="Y56" s="1415"/>
      <c r="Z56" s="1416"/>
      <c r="AA56" s="1391" t="s">
        <v>569</v>
      </c>
      <c r="AB56" s="1392"/>
      <c r="AC56" s="1391"/>
      <c r="AD56" s="1392"/>
    </row>
    <row r="57" spans="1:30">
      <c r="A57" s="48" t="s">
        <v>64</v>
      </c>
      <c r="B57" s="1514"/>
      <c r="C57" s="1515"/>
      <c r="D57" s="1515"/>
      <c r="E57" s="1516"/>
      <c r="F57" s="1510"/>
      <c r="G57" s="1542" t="s">
        <v>572</v>
      </c>
      <c r="H57" s="1543"/>
      <c r="I57" s="1543"/>
      <c r="J57" s="1543"/>
      <c r="K57" s="1544"/>
      <c r="L57" s="1357" t="s">
        <v>570</v>
      </c>
      <c r="M57" s="1358"/>
      <c r="N57" s="1357"/>
      <c r="O57" s="1358"/>
      <c r="P57" s="48" t="s">
        <v>71</v>
      </c>
      <c r="Q57" s="1514"/>
      <c r="R57" s="1515"/>
      <c r="S57" s="1515"/>
      <c r="T57" s="1516"/>
      <c r="U57" s="1510"/>
      <c r="V57" s="1542" t="s">
        <v>572</v>
      </c>
      <c r="W57" s="1543"/>
      <c r="X57" s="1543"/>
      <c r="Y57" s="1543"/>
      <c r="Z57" s="1544"/>
      <c r="AA57" s="1357" t="s">
        <v>570</v>
      </c>
      <c r="AB57" s="1358"/>
      <c r="AC57" s="1357"/>
      <c r="AD57" s="1358"/>
    </row>
    <row r="58" spans="1:30">
      <c r="A58" s="294"/>
      <c r="B58" s="138"/>
      <c r="C58" s="138"/>
      <c r="D58" s="138"/>
      <c r="E58" s="138"/>
      <c r="F58" s="138"/>
      <c r="G58" s="138"/>
      <c r="H58" s="86"/>
      <c r="I58" s="86"/>
      <c r="J58" s="86"/>
      <c r="K58" s="86"/>
      <c r="L58" s="86"/>
      <c r="M58" s="86"/>
      <c r="N58" s="86"/>
      <c r="O58" s="86"/>
      <c r="P58" s="294"/>
      <c r="Q58" s="138"/>
      <c r="R58" s="138"/>
      <c r="S58" s="138"/>
      <c r="T58" s="138"/>
      <c r="U58" s="138"/>
      <c r="V58" s="138"/>
      <c r="W58" s="86"/>
      <c r="X58" s="86"/>
      <c r="Y58" s="86"/>
      <c r="Z58" s="86"/>
      <c r="AA58" s="86"/>
      <c r="AB58" s="86"/>
      <c r="AC58" s="86"/>
      <c r="AD58" s="86"/>
    </row>
    <row r="59" spans="1:30">
      <c r="B59" s="86"/>
      <c r="C59" s="86"/>
      <c r="D59" s="86"/>
      <c r="E59" s="86"/>
      <c r="F59" s="86"/>
      <c r="G59" s="86"/>
      <c r="H59" s="86"/>
      <c r="I59" s="86"/>
      <c r="J59" s="86"/>
      <c r="K59" s="86"/>
      <c r="L59" s="86"/>
      <c r="M59" s="86"/>
      <c r="N59" s="86"/>
      <c r="O59" s="86"/>
      <c r="P59" s="20"/>
      <c r="Q59" s="86"/>
      <c r="R59" s="86"/>
      <c r="S59" s="86"/>
      <c r="T59" s="86"/>
      <c r="U59" s="86"/>
      <c r="V59" s="86"/>
      <c r="W59" s="86"/>
      <c r="X59" s="86"/>
      <c r="Y59" s="86"/>
      <c r="Z59" s="86"/>
      <c r="AA59" s="86"/>
      <c r="AB59" s="86"/>
      <c r="AC59" s="86"/>
      <c r="AD59" s="86"/>
    </row>
    <row r="60" spans="1:30">
      <c r="A60" s="1857" t="s">
        <v>204</v>
      </c>
      <c r="B60" s="1858" t="s">
        <v>463</v>
      </c>
      <c r="C60" s="1858"/>
      <c r="D60" s="1858"/>
      <c r="E60" s="1858"/>
      <c r="F60" s="1859" t="s">
        <v>488</v>
      </c>
      <c r="G60" s="1860"/>
      <c r="H60" s="1860"/>
      <c r="I60" s="1860"/>
      <c r="J60" s="1860"/>
      <c r="K60" s="1860"/>
      <c r="L60" s="1860"/>
      <c r="M60" s="1860"/>
      <c r="N60" s="1860"/>
      <c r="O60" s="1861"/>
      <c r="P60" s="1857" t="s">
        <v>204</v>
      </c>
      <c r="Q60" s="1858" t="s">
        <v>463</v>
      </c>
      <c r="R60" s="1858"/>
      <c r="S60" s="1858"/>
      <c r="T60" s="1858"/>
      <c r="U60" s="1859" t="s">
        <v>488</v>
      </c>
      <c r="V60" s="1860"/>
      <c r="W60" s="1860"/>
      <c r="X60" s="1860"/>
      <c r="Y60" s="1860"/>
      <c r="Z60" s="1860"/>
      <c r="AA60" s="1860"/>
      <c r="AB60" s="1860"/>
      <c r="AC60" s="1860"/>
      <c r="AD60" s="1861"/>
    </row>
    <row r="61" spans="1:30">
      <c r="A61" s="1857"/>
      <c r="B61" s="1858"/>
      <c r="C61" s="1858"/>
      <c r="D61" s="1858"/>
      <c r="E61" s="1858"/>
      <c r="F61" s="1862"/>
      <c r="G61" s="1863"/>
      <c r="H61" s="1863"/>
      <c r="I61" s="1863"/>
      <c r="J61" s="1863"/>
      <c r="K61" s="1863"/>
      <c r="L61" s="1863"/>
      <c r="M61" s="1863"/>
      <c r="N61" s="1863"/>
      <c r="O61" s="1864"/>
      <c r="P61" s="1857"/>
      <c r="Q61" s="1858"/>
      <c r="R61" s="1858"/>
      <c r="S61" s="1858"/>
      <c r="T61" s="1858"/>
      <c r="U61" s="1862"/>
      <c r="V61" s="1863"/>
      <c r="W61" s="1863"/>
      <c r="X61" s="1863"/>
      <c r="Y61" s="1863"/>
      <c r="Z61" s="1863"/>
      <c r="AA61" s="1863"/>
      <c r="AB61" s="1863"/>
      <c r="AC61" s="1863"/>
      <c r="AD61" s="1864"/>
    </row>
    <row r="62" spans="1:30" ht="18" customHeight="1">
      <c r="A62" s="1857"/>
      <c r="B62" s="1865" t="s">
        <v>469</v>
      </c>
      <c r="C62" s="173" t="s">
        <v>467</v>
      </c>
      <c r="D62" s="287" t="s">
        <v>470</v>
      </c>
      <c r="E62" s="290" t="s">
        <v>471</v>
      </c>
      <c r="F62" s="290" t="s">
        <v>475</v>
      </c>
      <c r="G62" s="288" t="s">
        <v>476</v>
      </c>
      <c r="H62" s="288" t="s">
        <v>477</v>
      </c>
      <c r="I62" s="288" t="s">
        <v>478</v>
      </c>
      <c r="J62" s="181" t="s">
        <v>480</v>
      </c>
      <c r="K62" s="181" t="s">
        <v>481</v>
      </c>
      <c r="L62" s="212" t="s">
        <v>479</v>
      </c>
      <c r="M62" s="212" t="s">
        <v>484</v>
      </c>
      <c r="N62" s="212" t="s">
        <v>485</v>
      </c>
      <c r="O62" s="212" t="s">
        <v>486</v>
      </c>
      <c r="P62" s="1857"/>
      <c r="Q62" s="1865" t="s">
        <v>469</v>
      </c>
      <c r="R62" s="173" t="s">
        <v>467</v>
      </c>
      <c r="S62" s="287" t="s">
        <v>470</v>
      </c>
      <c r="T62" s="290" t="s">
        <v>471</v>
      </c>
      <c r="U62" s="290" t="s">
        <v>475</v>
      </c>
      <c r="V62" s="288" t="s">
        <v>476</v>
      </c>
      <c r="W62" s="288" t="s">
        <v>477</v>
      </c>
      <c r="X62" s="288" t="s">
        <v>478</v>
      </c>
      <c r="Y62" s="181" t="s">
        <v>480</v>
      </c>
      <c r="Z62" s="181" t="s">
        <v>481</v>
      </c>
      <c r="AA62" s="212" t="s">
        <v>479</v>
      </c>
      <c r="AB62" s="212" t="s">
        <v>484</v>
      </c>
      <c r="AC62" s="212" t="s">
        <v>485</v>
      </c>
      <c r="AD62" s="212" t="s">
        <v>486</v>
      </c>
    </row>
    <row r="63" spans="1:30" ht="16">
      <c r="A63" s="1857"/>
      <c r="B63" s="1865"/>
      <c r="C63" s="174" t="s">
        <v>45</v>
      </c>
      <c r="D63" s="289" t="s">
        <v>351</v>
      </c>
      <c r="E63" s="291" t="s">
        <v>24</v>
      </c>
      <c r="F63" s="267" t="s">
        <v>474</v>
      </c>
      <c r="G63" s="267" t="s">
        <v>474</v>
      </c>
      <c r="H63" s="267" t="s">
        <v>24</v>
      </c>
      <c r="I63" s="267" t="s">
        <v>31</v>
      </c>
      <c r="J63" s="267" t="s">
        <v>31</v>
      </c>
      <c r="K63" s="267" t="s">
        <v>482</v>
      </c>
      <c r="L63" s="267" t="s">
        <v>31</v>
      </c>
      <c r="M63" s="267" t="s">
        <v>443</v>
      </c>
      <c r="N63" s="267" t="s">
        <v>443</v>
      </c>
      <c r="O63" s="267" t="s">
        <v>24</v>
      </c>
      <c r="P63" s="1857"/>
      <c r="Q63" s="1865"/>
      <c r="R63" s="174" t="s">
        <v>45</v>
      </c>
      <c r="S63" s="289" t="s">
        <v>351</v>
      </c>
      <c r="T63" s="291" t="s">
        <v>24</v>
      </c>
      <c r="U63" s="267" t="s">
        <v>474</v>
      </c>
      <c r="V63" s="267" t="s">
        <v>474</v>
      </c>
      <c r="W63" s="267" t="s">
        <v>24</v>
      </c>
      <c r="X63" s="267" t="s">
        <v>31</v>
      </c>
      <c r="Y63" s="267" t="s">
        <v>31</v>
      </c>
      <c r="Z63" s="267" t="s">
        <v>482</v>
      </c>
      <c r="AA63" s="267" t="s">
        <v>31</v>
      </c>
      <c r="AB63" s="267" t="s">
        <v>443</v>
      </c>
      <c r="AC63" s="267" t="s">
        <v>443</v>
      </c>
      <c r="AD63" s="267" t="s">
        <v>24</v>
      </c>
    </row>
    <row r="64" spans="1:30">
      <c r="A64" s="1857"/>
      <c r="B64" s="282" t="s">
        <v>472</v>
      </c>
      <c r="C64" s="277">
        <f>$H$34</f>
        <v>0.04</v>
      </c>
      <c r="D64" s="277">
        <f>$C$47+(C64/$N$40)*($B$47-$C$47)</f>
        <v>10.554069223573434</v>
      </c>
      <c r="E64" s="277">
        <f>(D64-$C$47)/($B$47-$C$47)</f>
        <v>2.6192703461178659E-2</v>
      </c>
      <c r="F64" s="269">
        <f t="shared" ref="F64:F71" si="18">2*(1/10^10)</f>
        <v>2.0000000000000001E-10</v>
      </c>
      <c r="G64" s="269" t="s">
        <v>24</v>
      </c>
      <c r="H64" s="269" t="s">
        <v>24</v>
      </c>
      <c r="I64" s="269" t="s">
        <v>24</v>
      </c>
      <c r="J64" s="269" t="s">
        <v>24</v>
      </c>
      <c r="K64" s="87">
        <v>0</v>
      </c>
      <c r="L64" s="277">
        <v>0</v>
      </c>
      <c r="M64" s="277">
        <f>610.5*EXP((17.269*D64)/(237.3+D64))</f>
        <v>1273.6259320427407</v>
      </c>
      <c r="N64" s="269">
        <f>$C$11+L64/F64*K64</f>
        <v>973</v>
      </c>
      <c r="O64" s="269">
        <v>0</v>
      </c>
      <c r="P64" s="1857"/>
      <c r="Q64" s="282" t="s">
        <v>472</v>
      </c>
      <c r="R64" s="277">
        <f>$W$34</f>
        <v>0.04</v>
      </c>
      <c r="S64" s="277">
        <f>$R$47+(R64/$AC$40)*($Q$47-$R$47)</f>
        <v>10.600997414111564</v>
      </c>
      <c r="T64" s="277">
        <f>(S64-$R$47)/($Q$47-$R$47)</f>
        <v>3.103066124861479E-2</v>
      </c>
      <c r="U64" s="269">
        <f t="shared" ref="U64:U71" si="19">2*(1/10^10)</f>
        <v>2.0000000000000001E-10</v>
      </c>
      <c r="V64" s="269" t="s">
        <v>24</v>
      </c>
      <c r="W64" s="269" t="s">
        <v>24</v>
      </c>
      <c r="X64" s="269" t="s">
        <v>24</v>
      </c>
      <c r="Y64" s="269" t="s">
        <v>24</v>
      </c>
      <c r="Z64" s="87">
        <v>0</v>
      </c>
      <c r="AA64" s="277">
        <v>0</v>
      </c>
      <c r="AB64" s="277">
        <f>610.5*EXP((17.269*S64)/(237.3+S64))</f>
        <v>1277.6184430219269</v>
      </c>
      <c r="AC64" s="277">
        <f>$C$11+AA64/U64*Z64</f>
        <v>973</v>
      </c>
      <c r="AD64" s="269">
        <v>0</v>
      </c>
    </row>
    <row r="65" spans="1:30">
      <c r="A65" s="1857"/>
      <c r="B65" s="282">
        <v>1</v>
      </c>
      <c r="C65" s="277">
        <f>$H$35</f>
        <v>0.19</v>
      </c>
      <c r="D65" s="277">
        <f t="shared" ref="D65:D70" si="20">$C$47+(C65/$N$40)*($B$47-$C$47)</f>
        <v>11.506828811973808</v>
      </c>
      <c r="E65" s="277">
        <f t="shared" ref="E65:E70" si="21">(D65-$C$47)/($B$47-$C$47)</f>
        <v>0.12441534144059868</v>
      </c>
      <c r="F65" s="269">
        <f t="shared" si="18"/>
        <v>2.0000000000000001E-10</v>
      </c>
      <c r="G65" s="269">
        <f>30*(10^(-12))</f>
        <v>3E-11</v>
      </c>
      <c r="H65" s="277">
        <f>F65/G65</f>
        <v>6.666666666666667</v>
      </c>
      <c r="I65" s="277">
        <f>H65*$E$35</f>
        <v>0.8</v>
      </c>
      <c r="J65" s="1588">
        <f>SUM(I65:I70)</f>
        <v>3.9609373235460201</v>
      </c>
      <c r="K65" s="154">
        <f t="shared" ref="K65:K71" si="22">F65*(($F$11-$C$11)/$J$65)</f>
        <v>4.4989351116635917E-8</v>
      </c>
      <c r="L65" s="277">
        <f>I65</f>
        <v>0.8</v>
      </c>
      <c r="M65" s="277">
        <f t="shared" ref="M65:M71" si="23">610.5*EXP((17.269*D65)/(237.3+D65))</f>
        <v>1356.8698440946855</v>
      </c>
      <c r="N65" s="277">
        <f t="shared" ref="N65:N71" si="24">$C$11+L65/F65*K65</f>
        <v>1152.9574044665437</v>
      </c>
      <c r="O65" s="277">
        <f>L65</f>
        <v>0.8</v>
      </c>
      <c r="P65" s="1857"/>
      <c r="Q65" s="282">
        <v>1</v>
      </c>
      <c r="R65" s="277">
        <f>$W$35</f>
        <v>0.19</v>
      </c>
      <c r="S65" s="277">
        <f t="shared" ref="S65:S70" si="25">$R$47+(R65/$AC$40)*($Q$47-$R$47)</f>
        <v>11.729737717029924</v>
      </c>
      <c r="T65" s="277">
        <f t="shared" ref="T65:T70" si="26">(S65-$R$47)/($Q$47-$R$47)</f>
        <v>0.14739564093091989</v>
      </c>
      <c r="U65" s="269">
        <f t="shared" si="19"/>
        <v>2.0000000000000001E-10</v>
      </c>
      <c r="V65" s="269">
        <f>30*(10^(-12))</f>
        <v>3E-11</v>
      </c>
      <c r="W65" s="277">
        <f>U65/V65</f>
        <v>6.666666666666667</v>
      </c>
      <c r="X65" s="277">
        <f>W65*$T$35</f>
        <v>0.8</v>
      </c>
      <c r="Y65" s="1588">
        <f>SUM(X65:X70)</f>
        <v>3.1139582156973464</v>
      </c>
      <c r="Z65" s="154">
        <f t="shared" ref="Z65:Z71" si="27">U65*(($F$11-$C$11)/$J$65)</f>
        <v>4.4989351116635917E-8</v>
      </c>
      <c r="AA65" s="277">
        <f>X65</f>
        <v>0.8</v>
      </c>
      <c r="AB65" s="277">
        <f t="shared" ref="AB65:AB71" si="28">610.5*EXP((17.269*S65)/(237.3+S65))</f>
        <v>1377.0220370475683</v>
      </c>
      <c r="AC65" s="277">
        <f t="shared" ref="AC65:AC71" si="29">$C$11+AA65/U65*Z65</f>
        <v>1152.9574044665437</v>
      </c>
      <c r="AD65" s="277">
        <f>AA65</f>
        <v>0.8</v>
      </c>
    </row>
    <row r="66" spans="1:30">
      <c r="A66" s="1857"/>
      <c r="B66" s="282">
        <v>2</v>
      </c>
      <c r="C66" s="277">
        <f>$H$36</f>
        <v>0.36</v>
      </c>
      <c r="D66" s="277">
        <f t="shared" si="20"/>
        <v>12.586623012160899</v>
      </c>
      <c r="E66" s="277">
        <f t="shared" si="21"/>
        <v>0.23573433115060813</v>
      </c>
      <c r="F66" s="269">
        <f t="shared" si="18"/>
        <v>2.0000000000000001E-10</v>
      </c>
      <c r="G66" s="269" t="s">
        <v>24</v>
      </c>
      <c r="H66" s="277" t="s">
        <v>24</v>
      </c>
      <c r="I66" s="277">
        <v>0.01</v>
      </c>
      <c r="J66" s="1588"/>
      <c r="K66" s="154">
        <f t="shared" si="22"/>
        <v>4.4989351116635917E-8</v>
      </c>
      <c r="L66" s="277">
        <f>I66+L65</f>
        <v>0.81</v>
      </c>
      <c r="M66" s="277">
        <f t="shared" si="23"/>
        <v>1456.9585234113365</v>
      </c>
      <c r="N66" s="277">
        <f t="shared" si="24"/>
        <v>1155.2068720223754</v>
      </c>
      <c r="O66" s="277">
        <f t="shared" ref="O66:O70" si="30">L66</f>
        <v>0.81</v>
      </c>
      <c r="P66" s="1857"/>
      <c r="Q66" s="282">
        <v>2</v>
      </c>
      <c r="R66" s="277">
        <f>$W$36</f>
        <v>0.36</v>
      </c>
      <c r="S66" s="277">
        <f t="shared" si="25"/>
        <v>13.008976727004065</v>
      </c>
      <c r="T66" s="277">
        <f t="shared" si="26"/>
        <v>0.2792759512375324</v>
      </c>
      <c r="U66" s="269">
        <f t="shared" si="19"/>
        <v>2.0000000000000001E-10</v>
      </c>
      <c r="V66" s="269" t="s">
        <v>24</v>
      </c>
      <c r="W66" s="277" t="s">
        <v>24</v>
      </c>
      <c r="X66" s="277">
        <v>0.01</v>
      </c>
      <c r="Y66" s="1588"/>
      <c r="Z66" s="154">
        <f t="shared" si="27"/>
        <v>4.4989351116635917E-8</v>
      </c>
      <c r="AA66" s="277">
        <f>X66+AA65</f>
        <v>0.81</v>
      </c>
      <c r="AB66" s="277">
        <f t="shared" si="28"/>
        <v>1497.8366981966835</v>
      </c>
      <c r="AC66" s="277">
        <f t="shared" si="29"/>
        <v>1155.2068720223754</v>
      </c>
      <c r="AD66" s="277">
        <f t="shared" ref="AD66:AD70" si="31">AA66</f>
        <v>0.81</v>
      </c>
    </row>
    <row r="67" spans="1:30">
      <c r="A67" s="1857"/>
      <c r="B67" s="282">
        <v>3</v>
      </c>
      <c r="C67" s="277">
        <f>$H$37</f>
        <v>0.47</v>
      </c>
      <c r="D67" s="277">
        <f t="shared" si="20"/>
        <v>13.28531337698784</v>
      </c>
      <c r="E67" s="277">
        <f t="shared" si="21"/>
        <v>0.30776426566884946</v>
      </c>
      <c r="F67" s="269">
        <f t="shared" si="18"/>
        <v>2.0000000000000001E-10</v>
      </c>
      <c r="G67" s="269">
        <f>30*(10^(-12))</f>
        <v>3E-11</v>
      </c>
      <c r="H67" s="277">
        <f>F67/G67</f>
        <v>6.666666666666667</v>
      </c>
      <c r="I67" s="277">
        <f>H67*$E$37</f>
        <v>0.26666666666666666</v>
      </c>
      <c r="J67" s="1588"/>
      <c r="K67" s="154">
        <f t="shared" si="22"/>
        <v>4.4989351116635917E-8</v>
      </c>
      <c r="L67" s="277">
        <f t="shared" ref="L67:L70" si="32">I67+L66</f>
        <v>1.0766666666666667</v>
      </c>
      <c r="M67" s="277">
        <f t="shared" si="23"/>
        <v>1525.1240946245348</v>
      </c>
      <c r="N67" s="277">
        <f t="shared" si="24"/>
        <v>1215.1926735112233</v>
      </c>
      <c r="O67" s="277">
        <f t="shared" si="30"/>
        <v>1.0766666666666667</v>
      </c>
      <c r="P67" s="1857"/>
      <c r="Q67" s="282">
        <v>3</v>
      </c>
      <c r="R67" s="277">
        <f>$W$37</f>
        <v>0.47</v>
      </c>
      <c r="S67" s="277">
        <f t="shared" si="25"/>
        <v>13.836719615810861</v>
      </c>
      <c r="T67" s="277">
        <f t="shared" si="26"/>
        <v>0.36461026967122268</v>
      </c>
      <c r="U67" s="269">
        <f t="shared" si="19"/>
        <v>2.0000000000000001E-10</v>
      </c>
      <c r="V67" s="269">
        <f>30*(10^(-12))</f>
        <v>3E-11</v>
      </c>
      <c r="W67" s="277">
        <f>U67/V67</f>
        <v>6.666666666666667</v>
      </c>
      <c r="X67" s="277">
        <f>W67*$T$37</f>
        <v>0.26666666666666666</v>
      </c>
      <c r="Y67" s="1588"/>
      <c r="Z67" s="154">
        <f t="shared" si="27"/>
        <v>4.4989351116635917E-8</v>
      </c>
      <c r="AA67" s="277">
        <f t="shared" ref="AA67:AA70" si="33">X67+AA66</f>
        <v>1.0766666666666667</v>
      </c>
      <c r="AB67" s="277">
        <f t="shared" si="28"/>
        <v>1580.8806891900899</v>
      </c>
      <c r="AC67" s="277">
        <f t="shared" si="29"/>
        <v>1215.1926735112233</v>
      </c>
      <c r="AD67" s="277">
        <f t="shared" si="31"/>
        <v>1.0766666666666667</v>
      </c>
    </row>
    <row r="68" spans="1:30">
      <c r="A68" s="1857"/>
      <c r="B68" s="282">
        <v>4</v>
      </c>
      <c r="C68" s="277">
        <f>$H$38</f>
        <v>0.64</v>
      </c>
      <c r="D68" s="277">
        <f t="shared" si="20"/>
        <v>14.36510757717493</v>
      </c>
      <c r="E68" s="277">
        <f t="shared" si="21"/>
        <v>0.41908325537885871</v>
      </c>
      <c r="F68" s="269">
        <f t="shared" si="18"/>
        <v>2.0000000000000001E-10</v>
      </c>
      <c r="G68" s="269" t="s">
        <v>24</v>
      </c>
      <c r="H68" s="277" t="s">
        <v>24</v>
      </c>
      <c r="I68" s="277">
        <v>0.01</v>
      </c>
      <c r="J68" s="1588"/>
      <c r="K68" s="154">
        <f t="shared" si="22"/>
        <v>4.4989351116635917E-8</v>
      </c>
      <c r="L68" s="277">
        <f t="shared" si="32"/>
        <v>1.0866666666666667</v>
      </c>
      <c r="M68" s="277">
        <f t="shared" si="23"/>
        <v>1635.9797720044392</v>
      </c>
      <c r="N68" s="277">
        <f t="shared" si="24"/>
        <v>1217.4421410670552</v>
      </c>
      <c r="O68" s="277">
        <f t="shared" si="30"/>
        <v>1.0866666666666667</v>
      </c>
      <c r="P68" s="1857"/>
      <c r="Q68" s="282">
        <v>4</v>
      </c>
      <c r="R68" s="277">
        <f>$W$38</f>
        <v>0.64</v>
      </c>
      <c r="S68" s="277">
        <f t="shared" si="25"/>
        <v>15.115958625785002</v>
      </c>
      <c r="T68" s="277">
        <f t="shared" si="26"/>
        <v>0.49649057997783519</v>
      </c>
      <c r="U68" s="269">
        <f t="shared" si="19"/>
        <v>2.0000000000000001E-10</v>
      </c>
      <c r="V68" s="269" t="s">
        <v>24</v>
      </c>
      <c r="W68" s="277" t="s">
        <v>24</v>
      </c>
      <c r="X68" s="277">
        <v>0.01</v>
      </c>
      <c r="Y68" s="1588"/>
      <c r="Z68" s="154">
        <f t="shared" si="27"/>
        <v>4.4989351116635917E-8</v>
      </c>
      <c r="AA68" s="277">
        <f t="shared" si="33"/>
        <v>1.0866666666666667</v>
      </c>
      <c r="AB68" s="277">
        <f t="shared" si="28"/>
        <v>1717.1725290795284</v>
      </c>
      <c r="AC68" s="277">
        <f t="shared" si="29"/>
        <v>1217.4421410670552</v>
      </c>
      <c r="AD68" s="277">
        <f t="shared" si="31"/>
        <v>1.0866666666666667</v>
      </c>
    </row>
    <row r="69" spans="1:30">
      <c r="A69" s="1857"/>
      <c r="B69" s="282">
        <v>5</v>
      </c>
      <c r="C69" s="277">
        <f>$H$39</f>
        <v>1.3542857142857143</v>
      </c>
      <c r="D69" s="277">
        <f t="shared" si="20"/>
        <v>18.902057998129095</v>
      </c>
      <c r="E69" s="277">
        <f t="shared" si="21"/>
        <v>0.88681010289990669</v>
      </c>
      <c r="F69" s="269">
        <f t="shared" si="18"/>
        <v>2.0000000000000001E-10</v>
      </c>
      <c r="G69" s="269">
        <f>35.42*(10^(-12))</f>
        <v>3.5419999999999999E-11</v>
      </c>
      <c r="H69" s="277">
        <f>F69/G69</f>
        <v>5.6465273856578211</v>
      </c>
      <c r="I69" s="277">
        <f>H69*$E$39</f>
        <v>2.5409373235460198</v>
      </c>
      <c r="J69" s="1588"/>
      <c r="K69" s="154">
        <f t="shared" si="22"/>
        <v>4.4989351116635917E-8</v>
      </c>
      <c r="L69" s="277">
        <f t="shared" si="32"/>
        <v>3.6276039902126866</v>
      </c>
      <c r="M69" s="277">
        <f t="shared" si="23"/>
        <v>2182.7687096285531</v>
      </c>
      <c r="N69" s="277">
        <f t="shared" si="24"/>
        <v>1789.0177481389401</v>
      </c>
      <c r="O69" s="277">
        <f t="shared" si="30"/>
        <v>3.6276039902126866</v>
      </c>
      <c r="P69" s="1857"/>
      <c r="Q69" s="282">
        <v>5</v>
      </c>
      <c r="R69" s="277">
        <f>$W$39</f>
        <v>1.1161904761904762</v>
      </c>
      <c r="S69" s="277">
        <f t="shared" si="25"/>
        <v>18.699261174732179</v>
      </c>
      <c r="T69" s="277">
        <f t="shared" si="26"/>
        <v>0.86590321388991531</v>
      </c>
      <c r="U69" s="269">
        <f t="shared" si="19"/>
        <v>2.0000000000000001E-10</v>
      </c>
      <c r="V69" s="269">
        <f>35.42*(10^(-12))</f>
        <v>3.5419999999999999E-11</v>
      </c>
      <c r="W69" s="277">
        <f>U69/V69</f>
        <v>5.6465273856578211</v>
      </c>
      <c r="X69" s="277">
        <f>W69*$T$39</f>
        <v>1.6939582156973463</v>
      </c>
      <c r="Y69" s="1588"/>
      <c r="Z69" s="154">
        <f t="shared" si="27"/>
        <v>4.4989351116635917E-8</v>
      </c>
      <c r="AA69" s="277">
        <f t="shared" si="33"/>
        <v>2.780624882364013</v>
      </c>
      <c r="AB69" s="277">
        <f t="shared" si="28"/>
        <v>2155.2857221066188</v>
      </c>
      <c r="AC69" s="277">
        <f t="shared" si="29"/>
        <v>1598.492545781645</v>
      </c>
      <c r="AD69" s="277">
        <f t="shared" si="31"/>
        <v>2.780624882364013</v>
      </c>
    </row>
    <row r="70" spans="1:30">
      <c r="A70" s="1857"/>
      <c r="B70" s="151">
        <v>6</v>
      </c>
      <c r="C70" s="263">
        <f>$H$40</f>
        <v>1.3971428571428572</v>
      </c>
      <c r="D70" s="263">
        <f t="shared" si="20"/>
        <v>19.174275023386343</v>
      </c>
      <c r="E70" s="263">
        <f t="shared" si="21"/>
        <v>0.91487371375116944</v>
      </c>
      <c r="F70" s="270">
        <f t="shared" si="18"/>
        <v>2.0000000000000001E-10</v>
      </c>
      <c r="G70" s="270">
        <f>18*(10^(-12))</f>
        <v>1.7999999999999999E-11</v>
      </c>
      <c r="H70" s="263">
        <f>F70/G70</f>
        <v>11.111111111111112</v>
      </c>
      <c r="I70" s="263">
        <f>H70*$E$40</f>
        <v>0.33333333333333337</v>
      </c>
      <c r="J70" s="1492"/>
      <c r="K70" s="154">
        <f t="shared" si="22"/>
        <v>4.4989351116635917E-8</v>
      </c>
      <c r="L70" s="277">
        <f t="shared" si="32"/>
        <v>3.9609373235460201</v>
      </c>
      <c r="M70" s="277">
        <f t="shared" si="23"/>
        <v>2220.1412972970998</v>
      </c>
      <c r="N70" s="277">
        <f t="shared" si="24"/>
        <v>1864</v>
      </c>
      <c r="O70" s="277">
        <f t="shared" si="30"/>
        <v>3.9609373235460201</v>
      </c>
      <c r="P70" s="1857"/>
      <c r="Q70" s="151">
        <v>6</v>
      </c>
      <c r="R70" s="277">
        <f>$W$40</f>
        <v>1.1590476190476191</v>
      </c>
      <c r="S70" s="277">
        <f t="shared" si="25"/>
        <v>19.021758404137422</v>
      </c>
      <c r="T70" s="277">
        <f t="shared" si="26"/>
        <v>0.89915035094200235</v>
      </c>
      <c r="U70" s="270">
        <f t="shared" si="19"/>
        <v>2.0000000000000001E-10</v>
      </c>
      <c r="V70" s="270">
        <f>18*(10^(-12))</f>
        <v>1.7999999999999999E-11</v>
      </c>
      <c r="W70" s="263">
        <f>U70/V70</f>
        <v>11.111111111111112</v>
      </c>
      <c r="X70" s="263">
        <f>W70*$T$40</f>
        <v>0.33333333333333337</v>
      </c>
      <c r="Y70" s="1492"/>
      <c r="Z70" s="154">
        <f t="shared" si="27"/>
        <v>4.4989351116635917E-8</v>
      </c>
      <c r="AA70" s="277">
        <f t="shared" si="33"/>
        <v>3.1139582156973464</v>
      </c>
      <c r="AB70" s="277">
        <f t="shared" si="28"/>
        <v>2199.1339797233404</v>
      </c>
      <c r="AC70" s="277">
        <f t="shared" si="29"/>
        <v>1673.474797642705</v>
      </c>
      <c r="AD70" s="277">
        <f t="shared" si="31"/>
        <v>3.1139582156973464</v>
      </c>
    </row>
    <row r="71" spans="1:30">
      <c r="A71" s="1857"/>
      <c r="B71" s="269" t="s">
        <v>483</v>
      </c>
      <c r="C71" s="277">
        <f>$C$70+$G$41</f>
        <v>1.5271428571428571</v>
      </c>
      <c r="D71" s="277">
        <v>20</v>
      </c>
      <c r="E71" s="263" t="s">
        <v>24</v>
      </c>
      <c r="F71" s="269">
        <f t="shared" si="18"/>
        <v>2.0000000000000001E-10</v>
      </c>
      <c r="G71" s="269" t="s">
        <v>24</v>
      </c>
      <c r="H71" s="269" t="s">
        <v>24</v>
      </c>
      <c r="I71" s="269" t="s">
        <v>24</v>
      </c>
      <c r="J71" s="269" t="s">
        <v>24</v>
      </c>
      <c r="K71" s="154">
        <f t="shared" si="22"/>
        <v>4.4989351116635917E-8</v>
      </c>
      <c r="L71" s="277">
        <f>L70</f>
        <v>3.9609373235460201</v>
      </c>
      <c r="M71" s="277">
        <f t="shared" si="23"/>
        <v>2336.9511438023419</v>
      </c>
      <c r="N71" s="277">
        <f t="shared" si="24"/>
        <v>1864</v>
      </c>
      <c r="O71" s="277">
        <f>O70+0.1</f>
        <v>4.0609373235460202</v>
      </c>
      <c r="P71" s="1857"/>
      <c r="Q71" s="269" t="s">
        <v>483</v>
      </c>
      <c r="R71" s="277">
        <f>$R$70+$V$41</f>
        <v>1.289047619047619</v>
      </c>
      <c r="S71" s="277">
        <v>20</v>
      </c>
      <c r="T71" s="263" t="s">
        <v>24</v>
      </c>
      <c r="U71" s="269">
        <f t="shared" si="19"/>
        <v>2.0000000000000001E-10</v>
      </c>
      <c r="V71" s="269" t="s">
        <v>24</v>
      </c>
      <c r="W71" s="269" t="s">
        <v>24</v>
      </c>
      <c r="X71" s="269" t="s">
        <v>24</v>
      </c>
      <c r="Y71" s="269" t="s">
        <v>24</v>
      </c>
      <c r="Z71" s="154">
        <f t="shared" si="27"/>
        <v>4.4989351116635917E-8</v>
      </c>
      <c r="AA71" s="277">
        <f>AA70</f>
        <v>3.1139582156973464</v>
      </c>
      <c r="AB71" s="277">
        <f t="shared" si="28"/>
        <v>2336.9511438023419</v>
      </c>
      <c r="AC71" s="277">
        <f t="shared" si="29"/>
        <v>1673.474797642705</v>
      </c>
      <c r="AD71" s="277">
        <f>AD70+0.1</f>
        <v>3.2139582156973465</v>
      </c>
    </row>
    <row r="72" spans="1:30">
      <c r="A72" s="1857"/>
      <c r="B72" s="1866" t="s">
        <v>473</v>
      </c>
      <c r="C72" s="1866"/>
      <c r="D72" s="1866"/>
      <c r="E72" s="1867"/>
      <c r="F72" s="1868" t="s">
        <v>473</v>
      </c>
      <c r="G72" s="1869"/>
      <c r="H72" s="1869"/>
      <c r="I72" s="1869"/>
      <c r="J72" s="1869"/>
      <c r="K72" s="1869"/>
      <c r="L72" s="1869"/>
      <c r="M72" s="1869"/>
      <c r="N72" s="1869"/>
      <c r="O72" s="1870"/>
      <c r="P72" s="1857"/>
      <c r="Q72" s="1866" t="s">
        <v>473</v>
      </c>
      <c r="R72" s="1866"/>
      <c r="S72" s="1866"/>
      <c r="T72" s="1867"/>
      <c r="U72" s="1868" t="s">
        <v>473</v>
      </c>
      <c r="V72" s="1869"/>
      <c r="W72" s="1869"/>
      <c r="X72" s="1869"/>
      <c r="Y72" s="1869"/>
      <c r="Z72" s="1869"/>
      <c r="AA72" s="1869"/>
      <c r="AB72" s="1869"/>
      <c r="AC72" s="1869"/>
      <c r="AD72" s="1870"/>
    </row>
    <row r="73" spans="1:30">
      <c r="A73" s="1857"/>
      <c r="B73" s="1871" t="str">
        <f>IF(E70&gt;$J$11,"Non ha inizio la crescita di muffe","Ha inizio la crescita di muffe")</f>
        <v>Ha inizio la crescita di muffe</v>
      </c>
      <c r="C73" s="1871"/>
      <c r="D73" s="1871"/>
      <c r="E73" s="1872"/>
      <c r="F73" s="1873" t="s">
        <v>487</v>
      </c>
      <c r="G73" s="1871"/>
      <c r="H73" s="1871"/>
      <c r="I73" s="1871"/>
      <c r="J73" s="1871"/>
      <c r="K73" s="1871"/>
      <c r="L73" s="1871"/>
      <c r="M73" s="1871"/>
      <c r="N73" s="1871"/>
      <c r="O73" s="1872"/>
      <c r="P73" s="1857"/>
      <c r="Q73" s="1871" t="str">
        <f>IF(T70&gt;$J$11,"Non ha inizio la crescita di muffe","Ha inizio la crescita di muffe")</f>
        <v>Ha inizio la crescita di muffe</v>
      </c>
      <c r="R73" s="1871"/>
      <c r="S73" s="1871"/>
      <c r="T73" s="1872"/>
      <c r="U73" s="1873" t="s">
        <v>487</v>
      </c>
      <c r="V73" s="1871"/>
      <c r="W73" s="1871"/>
      <c r="X73" s="1871"/>
      <c r="Y73" s="1871"/>
      <c r="Z73" s="1871"/>
      <c r="AA73" s="1871"/>
      <c r="AB73" s="1871"/>
      <c r="AC73" s="1871"/>
      <c r="AD73" s="1872"/>
    </row>
    <row r="74" spans="1:30">
      <c r="B74" s="86"/>
      <c r="C74" s="86"/>
      <c r="D74" s="86"/>
      <c r="E74" s="86"/>
      <c r="F74" s="86"/>
      <c r="G74" s="86"/>
      <c r="H74" s="86"/>
      <c r="I74" s="86"/>
      <c r="J74" s="86"/>
      <c r="K74" s="86"/>
      <c r="L74" s="86"/>
      <c r="M74" s="86"/>
      <c r="N74" s="86"/>
      <c r="O74" s="86"/>
      <c r="P74" s="20"/>
      <c r="Q74" s="86"/>
      <c r="R74" s="86"/>
      <c r="S74" s="86"/>
      <c r="T74" s="86"/>
      <c r="U74" s="86"/>
      <c r="V74" s="86"/>
      <c r="W74" s="86"/>
      <c r="X74" s="86"/>
      <c r="Y74" s="86"/>
      <c r="Z74" s="86"/>
      <c r="AA74" s="86"/>
      <c r="AB74" s="86"/>
      <c r="AC74" s="86"/>
      <c r="AD74" s="86"/>
    </row>
    <row r="75" spans="1:30">
      <c r="B75" s="86"/>
      <c r="C75" s="86"/>
      <c r="D75" s="86"/>
      <c r="E75" s="86"/>
      <c r="F75" s="86"/>
      <c r="G75" s="86"/>
      <c r="H75" s="86"/>
      <c r="I75" s="86"/>
      <c r="J75" s="86"/>
      <c r="K75" s="86"/>
      <c r="L75" s="86"/>
      <c r="M75" s="86"/>
      <c r="N75" s="86"/>
      <c r="O75" s="86"/>
      <c r="P75" s="20"/>
      <c r="Q75" s="86"/>
      <c r="R75" s="86"/>
      <c r="S75" s="86"/>
      <c r="T75" s="86"/>
      <c r="U75" s="86"/>
      <c r="V75" s="86"/>
      <c r="W75" s="86"/>
      <c r="X75" s="86"/>
      <c r="Y75" s="86"/>
      <c r="Z75" s="86"/>
      <c r="AA75" s="86"/>
      <c r="AB75" s="86"/>
      <c r="AC75" s="86"/>
      <c r="AD75" s="86"/>
    </row>
    <row r="76" spans="1:30">
      <c r="A76" s="1857" t="s">
        <v>205</v>
      </c>
      <c r="B76" s="1858" t="s">
        <v>463</v>
      </c>
      <c r="C76" s="1858"/>
      <c r="D76" s="1858"/>
      <c r="E76" s="1858"/>
      <c r="F76" s="1859" t="s">
        <v>488</v>
      </c>
      <c r="G76" s="1860"/>
      <c r="H76" s="1860"/>
      <c r="I76" s="1860"/>
      <c r="J76" s="1860"/>
      <c r="K76" s="1860"/>
      <c r="L76" s="1860"/>
      <c r="M76" s="1860"/>
      <c r="N76" s="1860"/>
      <c r="O76" s="1861"/>
      <c r="P76" s="1857" t="s">
        <v>205</v>
      </c>
      <c r="Q76" s="1858" t="s">
        <v>463</v>
      </c>
      <c r="R76" s="1858"/>
      <c r="S76" s="1858"/>
      <c r="T76" s="1858"/>
      <c r="U76" s="1859" t="s">
        <v>488</v>
      </c>
      <c r="V76" s="1860"/>
      <c r="W76" s="1860"/>
      <c r="X76" s="1860"/>
      <c r="Y76" s="1860"/>
      <c r="Z76" s="1860"/>
      <c r="AA76" s="1860"/>
      <c r="AB76" s="1860"/>
      <c r="AC76" s="1860"/>
      <c r="AD76" s="1861"/>
    </row>
    <row r="77" spans="1:30">
      <c r="A77" s="1857"/>
      <c r="B77" s="1858"/>
      <c r="C77" s="1858"/>
      <c r="D77" s="1858"/>
      <c r="E77" s="1858"/>
      <c r="F77" s="1862"/>
      <c r="G77" s="1863"/>
      <c r="H77" s="1863"/>
      <c r="I77" s="1863"/>
      <c r="J77" s="1863"/>
      <c r="K77" s="1863"/>
      <c r="L77" s="1863"/>
      <c r="M77" s="1863"/>
      <c r="N77" s="1863"/>
      <c r="O77" s="1864"/>
      <c r="P77" s="1857"/>
      <c r="Q77" s="1858"/>
      <c r="R77" s="1858"/>
      <c r="S77" s="1858"/>
      <c r="T77" s="1858"/>
      <c r="U77" s="1862"/>
      <c r="V77" s="1863"/>
      <c r="W77" s="1863"/>
      <c r="X77" s="1863"/>
      <c r="Y77" s="1863"/>
      <c r="Z77" s="1863"/>
      <c r="AA77" s="1863"/>
      <c r="AB77" s="1863"/>
      <c r="AC77" s="1863"/>
      <c r="AD77" s="1864"/>
    </row>
    <row r="78" spans="1:30" ht="17">
      <c r="A78" s="1857"/>
      <c r="B78" s="1865" t="s">
        <v>469</v>
      </c>
      <c r="C78" s="173" t="s">
        <v>467</v>
      </c>
      <c r="D78" s="287" t="s">
        <v>470</v>
      </c>
      <c r="E78" s="290" t="s">
        <v>471</v>
      </c>
      <c r="F78" s="290" t="s">
        <v>475</v>
      </c>
      <c r="G78" s="288" t="s">
        <v>476</v>
      </c>
      <c r="H78" s="288" t="s">
        <v>477</v>
      </c>
      <c r="I78" s="288" t="s">
        <v>478</v>
      </c>
      <c r="J78" s="181" t="s">
        <v>480</v>
      </c>
      <c r="K78" s="181" t="s">
        <v>481</v>
      </c>
      <c r="L78" s="212" t="s">
        <v>479</v>
      </c>
      <c r="M78" s="212" t="s">
        <v>484</v>
      </c>
      <c r="N78" s="212" t="s">
        <v>485</v>
      </c>
      <c r="O78" s="212" t="s">
        <v>486</v>
      </c>
      <c r="P78" s="1857"/>
      <c r="Q78" s="1865" t="s">
        <v>469</v>
      </c>
      <c r="R78" s="173" t="s">
        <v>467</v>
      </c>
      <c r="S78" s="287" t="s">
        <v>470</v>
      </c>
      <c r="T78" s="290" t="s">
        <v>471</v>
      </c>
      <c r="U78" s="290" t="s">
        <v>475</v>
      </c>
      <c r="V78" s="288" t="s">
        <v>476</v>
      </c>
      <c r="W78" s="288" t="s">
        <v>477</v>
      </c>
      <c r="X78" s="288" t="s">
        <v>478</v>
      </c>
      <c r="Y78" s="181" t="s">
        <v>480</v>
      </c>
      <c r="Z78" s="181" t="s">
        <v>481</v>
      </c>
      <c r="AA78" s="212" t="s">
        <v>479</v>
      </c>
      <c r="AB78" s="212" t="s">
        <v>484</v>
      </c>
      <c r="AC78" s="212" t="s">
        <v>485</v>
      </c>
      <c r="AD78" s="212" t="s">
        <v>486</v>
      </c>
    </row>
    <row r="79" spans="1:30" ht="16">
      <c r="A79" s="1857"/>
      <c r="B79" s="1865"/>
      <c r="C79" s="174" t="s">
        <v>45</v>
      </c>
      <c r="D79" s="289" t="s">
        <v>351</v>
      </c>
      <c r="E79" s="291" t="s">
        <v>24</v>
      </c>
      <c r="F79" s="267" t="s">
        <v>474</v>
      </c>
      <c r="G79" s="267" t="s">
        <v>474</v>
      </c>
      <c r="H79" s="267" t="s">
        <v>24</v>
      </c>
      <c r="I79" s="267" t="s">
        <v>31</v>
      </c>
      <c r="J79" s="267" t="s">
        <v>31</v>
      </c>
      <c r="K79" s="267" t="s">
        <v>482</v>
      </c>
      <c r="L79" s="267" t="s">
        <v>31</v>
      </c>
      <c r="M79" s="267" t="s">
        <v>443</v>
      </c>
      <c r="N79" s="267" t="s">
        <v>443</v>
      </c>
      <c r="O79" s="267" t="s">
        <v>24</v>
      </c>
      <c r="P79" s="1857"/>
      <c r="Q79" s="1865"/>
      <c r="R79" s="174" t="s">
        <v>45</v>
      </c>
      <c r="S79" s="289" t="s">
        <v>351</v>
      </c>
      <c r="T79" s="291" t="s">
        <v>24</v>
      </c>
      <c r="U79" s="267" t="s">
        <v>474</v>
      </c>
      <c r="V79" s="267" t="s">
        <v>474</v>
      </c>
      <c r="W79" s="267" t="s">
        <v>24</v>
      </c>
      <c r="X79" s="267" t="s">
        <v>31</v>
      </c>
      <c r="Y79" s="267" t="s">
        <v>31</v>
      </c>
      <c r="Z79" s="267" t="s">
        <v>482</v>
      </c>
      <c r="AA79" s="267" t="s">
        <v>31</v>
      </c>
      <c r="AB79" s="267" t="s">
        <v>443</v>
      </c>
      <c r="AC79" s="267" t="s">
        <v>443</v>
      </c>
      <c r="AD79" s="267" t="s">
        <v>24</v>
      </c>
    </row>
    <row r="80" spans="1:30">
      <c r="A80" s="1857"/>
      <c r="B80" s="282" t="s">
        <v>472</v>
      </c>
      <c r="C80" s="277">
        <f>$H$34</f>
        <v>0.04</v>
      </c>
      <c r="D80" s="277">
        <f>$C$48+(C80/$N$40)*($B$48-$C$48)</f>
        <v>11.040972871842845</v>
      </c>
      <c r="E80" s="277">
        <f>(D80-$C$48)/($B$48-$C$48)</f>
        <v>2.6192703461178732E-2</v>
      </c>
      <c r="F80" s="269">
        <f t="shared" ref="F80:F87" si="34">2*(1/10^10)</f>
        <v>2.0000000000000001E-10</v>
      </c>
      <c r="G80" s="269" t="s">
        <v>24</v>
      </c>
      <c r="H80" s="269" t="s">
        <v>24</v>
      </c>
      <c r="I80" s="269" t="s">
        <v>24</v>
      </c>
      <c r="J80" s="269" t="s">
        <v>24</v>
      </c>
      <c r="K80" s="87">
        <v>0</v>
      </c>
      <c r="L80" s="277">
        <v>0</v>
      </c>
      <c r="M80" s="277">
        <f>610.5*EXP((17.269*D80)/(237.3+D80))</f>
        <v>1315.5886436463795</v>
      </c>
      <c r="N80" s="277">
        <f>$C$12+L80/F80*K80</f>
        <v>923</v>
      </c>
      <c r="O80" s="269">
        <v>0</v>
      </c>
      <c r="P80" s="1857"/>
      <c r="Q80" s="282" t="s">
        <v>472</v>
      </c>
      <c r="R80" s="277">
        <f>$W$34</f>
        <v>0.04</v>
      </c>
      <c r="S80" s="277">
        <f>$R$48+(R80/$AC$40)*($Q$48-$R$48)</f>
        <v>11.085482083487255</v>
      </c>
      <c r="T80" s="277">
        <f>(S80-$R$48)/($Q$48-$R$48)</f>
        <v>3.1030661248614616E-2</v>
      </c>
      <c r="U80" s="269">
        <f t="shared" ref="U80:U87" si="35">2*(1/10^10)</f>
        <v>2.0000000000000001E-10</v>
      </c>
      <c r="V80" s="269" t="s">
        <v>24</v>
      </c>
      <c r="W80" s="269" t="s">
        <v>24</v>
      </c>
      <c r="X80" s="269" t="s">
        <v>24</v>
      </c>
      <c r="Y80" s="269" t="s">
        <v>24</v>
      </c>
      <c r="Z80" s="87">
        <v>0</v>
      </c>
      <c r="AA80" s="277">
        <v>0</v>
      </c>
      <c r="AB80" s="277">
        <f>610.5*EXP((17.269*S80)/(237.3+S80))</f>
        <v>1319.4844970424815</v>
      </c>
      <c r="AC80" s="277">
        <f>$C$12+AA80/U80*Z80</f>
        <v>923</v>
      </c>
      <c r="AD80" s="269">
        <v>0</v>
      </c>
    </row>
    <row r="81" spans="1:30">
      <c r="A81" s="1857"/>
      <c r="B81" s="282">
        <v>1</v>
      </c>
      <c r="C81" s="277">
        <f>$H$35</f>
        <v>0.19</v>
      </c>
      <c r="D81" s="277">
        <f t="shared" ref="D81:D86" si="36">$C$48+(C81/$N$40)*($B$48-$C$48)</f>
        <v>11.944621141253508</v>
      </c>
      <c r="E81" s="277">
        <f t="shared" ref="E81:E86" si="37">(D81-$C$48)/($B$48-$C$48)</f>
        <v>0.12441534144059864</v>
      </c>
      <c r="F81" s="269">
        <f t="shared" si="34"/>
        <v>2.0000000000000001E-10</v>
      </c>
      <c r="G81" s="269">
        <f>30*(10^(-12))</f>
        <v>3E-11</v>
      </c>
      <c r="H81" s="277">
        <f>F81/G81</f>
        <v>6.666666666666667</v>
      </c>
      <c r="I81" s="277">
        <f>H81*$E$35</f>
        <v>0.8</v>
      </c>
      <c r="J81" s="1588">
        <f>SUM(I81:I86)</f>
        <v>3.9609373235460201</v>
      </c>
      <c r="K81" s="154">
        <f t="shared" ref="K81:K87" si="38">F81*(($F$12-$C$12)/$J$65)</f>
        <v>2.9992900744423942E-8</v>
      </c>
      <c r="L81" s="277">
        <f>I81</f>
        <v>0.8</v>
      </c>
      <c r="M81" s="277">
        <f t="shared" ref="M81:M87" si="39">610.5*EXP((17.269*D81)/(237.3+D81))</f>
        <v>1396.6970959058126</v>
      </c>
      <c r="N81" s="277">
        <f t="shared" ref="N81:N87" si="40">$C$12+L81/F81*K81</f>
        <v>1042.9716029776957</v>
      </c>
      <c r="O81" s="277">
        <f>L81</f>
        <v>0.8</v>
      </c>
      <c r="P81" s="1857"/>
      <c r="Q81" s="282">
        <v>1</v>
      </c>
      <c r="R81" s="277">
        <f>$W$35</f>
        <v>0.19</v>
      </c>
      <c r="S81" s="277">
        <f t="shared" ref="S81:S86" si="41">$R$48+(R81/$AC$40)*($Q$48-$R$48)</f>
        <v>12.156039896564463</v>
      </c>
      <c r="T81" s="277">
        <f t="shared" ref="T81:T86" si="42">(S81-$R$48)/($Q$48-$R$48)</f>
        <v>0.14739564093091986</v>
      </c>
      <c r="U81" s="269">
        <f t="shared" si="35"/>
        <v>2.0000000000000001E-10</v>
      </c>
      <c r="V81" s="269">
        <f>30*(10^(-12))</f>
        <v>3E-11</v>
      </c>
      <c r="W81" s="277">
        <f>U81/V81</f>
        <v>6.666666666666667</v>
      </c>
      <c r="X81" s="277">
        <f>W81*$T$35</f>
        <v>0.8</v>
      </c>
      <c r="Y81" s="1588">
        <f>SUM(X81:X86)</f>
        <v>3.1139582156973464</v>
      </c>
      <c r="Z81" s="154">
        <f t="shared" ref="Z81:Z87" si="43">U81*(($F$12-$C$12)/$J$65)</f>
        <v>2.9992900744423942E-8</v>
      </c>
      <c r="AA81" s="277">
        <f>X81</f>
        <v>0.8</v>
      </c>
      <c r="AB81" s="277">
        <f t="shared" ref="AB81:AB87" si="44">610.5*EXP((17.269*S81)/(237.3+S81))</f>
        <v>1416.2954763367818</v>
      </c>
      <c r="AC81" s="277">
        <f t="shared" ref="AC81:AC87" si="45">$C$12+AA81/U81*Z81</f>
        <v>1042.9716029776957</v>
      </c>
      <c r="AD81" s="277">
        <f>AA81</f>
        <v>0.8</v>
      </c>
    </row>
    <row r="82" spans="1:30">
      <c r="A82" s="1857"/>
      <c r="B82" s="282">
        <v>2</v>
      </c>
      <c r="C82" s="277">
        <f>$H$36</f>
        <v>0.36</v>
      </c>
      <c r="D82" s="277">
        <f t="shared" si="36"/>
        <v>12.968755846585594</v>
      </c>
      <c r="E82" s="277">
        <f t="shared" si="37"/>
        <v>0.23573433115060802</v>
      </c>
      <c r="F82" s="269">
        <f t="shared" si="34"/>
        <v>2.0000000000000001E-10</v>
      </c>
      <c r="G82" s="269" t="s">
        <v>24</v>
      </c>
      <c r="H82" s="277" t="s">
        <v>24</v>
      </c>
      <c r="I82" s="277">
        <v>0.01</v>
      </c>
      <c r="J82" s="1588"/>
      <c r="K82" s="154">
        <f t="shared" si="38"/>
        <v>2.9992900744423942E-8</v>
      </c>
      <c r="L82" s="277">
        <f>I82+L81</f>
        <v>0.81</v>
      </c>
      <c r="M82" s="277">
        <f t="shared" si="39"/>
        <v>1493.9009554619161</v>
      </c>
      <c r="N82" s="277">
        <f t="shared" si="40"/>
        <v>1044.4712480149169</v>
      </c>
      <c r="O82" s="277">
        <f t="shared" ref="O82:O86" si="46">L82</f>
        <v>0.81</v>
      </c>
      <c r="P82" s="1857"/>
      <c r="Q82" s="282">
        <v>2</v>
      </c>
      <c r="R82" s="277">
        <f>$W$36</f>
        <v>0.36</v>
      </c>
      <c r="S82" s="277">
        <f t="shared" si="41"/>
        <v>13.369338751385298</v>
      </c>
      <c r="T82" s="277">
        <f t="shared" si="42"/>
        <v>0.27927595123753235</v>
      </c>
      <c r="U82" s="269">
        <f t="shared" si="35"/>
        <v>2.0000000000000001E-10</v>
      </c>
      <c r="V82" s="269" t="s">
        <v>24</v>
      </c>
      <c r="W82" s="277" t="s">
        <v>24</v>
      </c>
      <c r="X82" s="277">
        <v>0.01</v>
      </c>
      <c r="Y82" s="1588"/>
      <c r="Z82" s="154">
        <f t="shared" si="43"/>
        <v>2.9992900744423942E-8</v>
      </c>
      <c r="AA82" s="277">
        <f>X82+AA81</f>
        <v>0.81</v>
      </c>
      <c r="AB82" s="277">
        <f t="shared" si="44"/>
        <v>1533.5073872536495</v>
      </c>
      <c r="AC82" s="277">
        <f t="shared" si="45"/>
        <v>1044.4712480149169</v>
      </c>
      <c r="AD82" s="277">
        <f t="shared" ref="AD82:AD86" si="47">AA82</f>
        <v>0.81</v>
      </c>
    </row>
    <row r="83" spans="1:30">
      <c r="A83" s="1857"/>
      <c r="B83" s="282">
        <v>3</v>
      </c>
      <c r="C83" s="277">
        <f>$H$37</f>
        <v>0.47</v>
      </c>
      <c r="D83" s="277">
        <f t="shared" si="36"/>
        <v>13.631431244153415</v>
      </c>
      <c r="E83" s="277">
        <f t="shared" si="37"/>
        <v>0.3077642656688494</v>
      </c>
      <c r="F83" s="269">
        <f t="shared" si="34"/>
        <v>2.0000000000000001E-10</v>
      </c>
      <c r="G83" s="269">
        <f>30*(10^(-12))</f>
        <v>3E-11</v>
      </c>
      <c r="H83" s="277">
        <f>F83/G83</f>
        <v>6.666666666666667</v>
      </c>
      <c r="I83" s="277">
        <f>H83*$E$37</f>
        <v>0.26666666666666666</v>
      </c>
      <c r="J83" s="1588"/>
      <c r="K83" s="154">
        <f t="shared" si="38"/>
        <v>2.9992900744423942E-8</v>
      </c>
      <c r="L83" s="277">
        <f t="shared" ref="L83:L86" si="48">I83+L82</f>
        <v>1.0766666666666667</v>
      </c>
      <c r="M83" s="277">
        <f t="shared" si="39"/>
        <v>1559.9170094862172</v>
      </c>
      <c r="N83" s="277">
        <f t="shared" si="40"/>
        <v>1084.4617823408155</v>
      </c>
      <c r="O83" s="277">
        <f t="shared" si="46"/>
        <v>1.0766666666666667</v>
      </c>
      <c r="P83" s="1857"/>
      <c r="Q83" s="282">
        <v>3</v>
      </c>
      <c r="R83" s="277">
        <f>$W$37</f>
        <v>0.47</v>
      </c>
      <c r="S83" s="277">
        <f t="shared" si="41"/>
        <v>14.15441448097525</v>
      </c>
      <c r="T83" s="277">
        <f t="shared" si="42"/>
        <v>0.36461026967122279</v>
      </c>
      <c r="U83" s="269">
        <f t="shared" si="35"/>
        <v>2.0000000000000001E-10</v>
      </c>
      <c r="V83" s="269">
        <f>30*(10^(-12))</f>
        <v>3E-11</v>
      </c>
      <c r="W83" s="277">
        <f>U83/V83</f>
        <v>6.666666666666667</v>
      </c>
      <c r="X83" s="277">
        <f>W83*$T$37</f>
        <v>0.26666666666666666</v>
      </c>
      <c r="Y83" s="1588"/>
      <c r="Z83" s="154">
        <f t="shared" si="43"/>
        <v>2.9992900744423942E-8</v>
      </c>
      <c r="AA83" s="277">
        <f t="shared" ref="AA83:AA86" si="49">X83+AA82</f>
        <v>1.0766666666666667</v>
      </c>
      <c r="AB83" s="277">
        <f t="shared" si="44"/>
        <v>1613.8104933131738</v>
      </c>
      <c r="AC83" s="277">
        <f t="shared" si="45"/>
        <v>1084.4617823408155</v>
      </c>
      <c r="AD83" s="277">
        <f t="shared" si="47"/>
        <v>1.0766666666666667</v>
      </c>
    </row>
    <row r="84" spans="1:30">
      <c r="A84" s="1857"/>
      <c r="B84" s="282">
        <v>4</v>
      </c>
      <c r="C84" s="277">
        <f>$H$38</f>
        <v>0.64</v>
      </c>
      <c r="D84" s="277">
        <f t="shared" si="36"/>
        <v>14.655565949485501</v>
      </c>
      <c r="E84" s="277">
        <f t="shared" si="37"/>
        <v>0.41908325537885877</v>
      </c>
      <c r="F84" s="269">
        <f t="shared" si="34"/>
        <v>2.0000000000000001E-10</v>
      </c>
      <c r="G84" s="269" t="s">
        <v>24</v>
      </c>
      <c r="H84" s="277" t="s">
        <v>24</v>
      </c>
      <c r="I84" s="277">
        <v>0.01</v>
      </c>
      <c r="J84" s="1588"/>
      <c r="K84" s="154">
        <f t="shared" si="38"/>
        <v>2.9992900744423942E-8</v>
      </c>
      <c r="L84" s="277">
        <f t="shared" si="48"/>
        <v>1.0866666666666667</v>
      </c>
      <c r="M84" s="277">
        <f t="shared" si="39"/>
        <v>1666.9798207177698</v>
      </c>
      <c r="N84" s="277">
        <f t="shared" si="40"/>
        <v>1085.9614273780367</v>
      </c>
      <c r="O84" s="277">
        <f t="shared" si="46"/>
        <v>1.0866666666666667</v>
      </c>
      <c r="P84" s="1857"/>
      <c r="Q84" s="282">
        <v>4</v>
      </c>
      <c r="R84" s="277">
        <f>$W$38</f>
        <v>0.64</v>
      </c>
      <c r="S84" s="277">
        <f t="shared" si="41"/>
        <v>15.367713335796084</v>
      </c>
      <c r="T84" s="277">
        <f t="shared" si="42"/>
        <v>0.49649057997783524</v>
      </c>
      <c r="U84" s="269">
        <f t="shared" si="35"/>
        <v>2.0000000000000001E-10</v>
      </c>
      <c r="V84" s="269" t="s">
        <v>24</v>
      </c>
      <c r="W84" s="277" t="s">
        <v>24</v>
      </c>
      <c r="X84" s="277">
        <v>0.01</v>
      </c>
      <c r="Y84" s="1588"/>
      <c r="Z84" s="154">
        <f t="shared" si="43"/>
        <v>2.9992900744423942E-8</v>
      </c>
      <c r="AA84" s="277">
        <f t="shared" si="49"/>
        <v>1.0866666666666667</v>
      </c>
      <c r="AB84" s="277">
        <f t="shared" si="44"/>
        <v>1745.1757027050924</v>
      </c>
      <c r="AC84" s="277">
        <f t="shared" si="45"/>
        <v>1085.9614273780367</v>
      </c>
      <c r="AD84" s="277">
        <f t="shared" si="47"/>
        <v>1.0866666666666667</v>
      </c>
    </row>
    <row r="85" spans="1:30">
      <c r="A85" s="1857"/>
      <c r="B85" s="282">
        <v>5</v>
      </c>
      <c r="C85" s="277">
        <f>$H$39</f>
        <v>1.3542857142857143</v>
      </c>
      <c r="D85" s="277">
        <f t="shared" si="36"/>
        <v>18.958652946679138</v>
      </c>
      <c r="E85" s="277">
        <f t="shared" si="37"/>
        <v>0.88681010289990625</v>
      </c>
      <c r="F85" s="269">
        <f t="shared" si="34"/>
        <v>2.0000000000000001E-10</v>
      </c>
      <c r="G85" s="269">
        <f>35.42*(10^(-12))</f>
        <v>3.5419999999999999E-11</v>
      </c>
      <c r="H85" s="277">
        <f>F85/G85</f>
        <v>5.6465273856578211</v>
      </c>
      <c r="I85" s="277">
        <f>H85*$E$39</f>
        <v>2.5409373235460198</v>
      </c>
      <c r="J85" s="1588"/>
      <c r="K85" s="154">
        <f t="shared" si="38"/>
        <v>2.9992900744423942E-8</v>
      </c>
      <c r="L85" s="277">
        <f t="shared" si="48"/>
        <v>3.6276039902126866</v>
      </c>
      <c r="M85" s="277">
        <f t="shared" si="39"/>
        <v>2190.4929621072588</v>
      </c>
      <c r="N85" s="277">
        <f t="shared" si="40"/>
        <v>1467.0118320926267</v>
      </c>
      <c r="O85" s="277">
        <f t="shared" si="46"/>
        <v>3.6276039902126866</v>
      </c>
      <c r="P85" s="1857"/>
      <c r="Q85" s="282">
        <v>5</v>
      </c>
      <c r="R85" s="277">
        <f>$W$39</f>
        <v>1.1161904761904762</v>
      </c>
      <c r="S85" s="277">
        <f t="shared" si="41"/>
        <v>18.766309567787218</v>
      </c>
      <c r="T85" s="277">
        <f t="shared" si="42"/>
        <v>0.86590321388991498</v>
      </c>
      <c r="U85" s="269">
        <f t="shared" si="35"/>
        <v>2.0000000000000001E-10</v>
      </c>
      <c r="V85" s="269">
        <f>35.42*(10^(-12))</f>
        <v>3.5419999999999999E-11</v>
      </c>
      <c r="W85" s="277">
        <f>U85/V85</f>
        <v>5.6465273856578211</v>
      </c>
      <c r="X85" s="277">
        <f>W85*$T$39</f>
        <v>1.6939582156973463</v>
      </c>
      <c r="Y85" s="1588"/>
      <c r="Z85" s="154">
        <f t="shared" si="43"/>
        <v>2.9992900744423942E-8</v>
      </c>
      <c r="AA85" s="277">
        <f t="shared" si="49"/>
        <v>2.780624882364013</v>
      </c>
      <c r="AB85" s="277">
        <f t="shared" si="44"/>
        <v>2164.3384084671557</v>
      </c>
      <c r="AC85" s="277">
        <f t="shared" si="45"/>
        <v>1339.9950305210966</v>
      </c>
      <c r="AD85" s="277">
        <f t="shared" si="47"/>
        <v>2.780624882364013</v>
      </c>
    </row>
    <row r="86" spans="1:30">
      <c r="A86" s="1857"/>
      <c r="B86" s="151">
        <v>6</v>
      </c>
      <c r="C86" s="263">
        <f>$H$40</f>
        <v>1.3971428571428572</v>
      </c>
      <c r="D86" s="277">
        <f t="shared" si="36"/>
        <v>19.216838166510758</v>
      </c>
      <c r="E86" s="277">
        <f t="shared" si="37"/>
        <v>0.91487371375116933</v>
      </c>
      <c r="F86" s="270">
        <f t="shared" si="34"/>
        <v>2.0000000000000001E-10</v>
      </c>
      <c r="G86" s="270">
        <f>18*(10^(-12))</f>
        <v>1.7999999999999999E-11</v>
      </c>
      <c r="H86" s="263">
        <f>F86/G86</f>
        <v>11.111111111111112</v>
      </c>
      <c r="I86" s="263">
        <f>H86*$E$40</f>
        <v>0.33333333333333337</v>
      </c>
      <c r="J86" s="1492"/>
      <c r="K86" s="154">
        <f t="shared" si="38"/>
        <v>2.9992900744423942E-8</v>
      </c>
      <c r="L86" s="277">
        <f t="shared" si="48"/>
        <v>3.9609373235460201</v>
      </c>
      <c r="M86" s="277">
        <f t="shared" si="39"/>
        <v>2226.0350969476708</v>
      </c>
      <c r="N86" s="277">
        <f t="shared" si="40"/>
        <v>1517</v>
      </c>
      <c r="O86" s="277">
        <f t="shared" si="46"/>
        <v>3.9609373235460201</v>
      </c>
      <c r="P86" s="1857"/>
      <c r="Q86" s="151">
        <v>6</v>
      </c>
      <c r="R86" s="277">
        <f>$W$40</f>
        <v>1.1590476190476191</v>
      </c>
      <c r="S86" s="277">
        <f t="shared" si="41"/>
        <v>19.072183228666418</v>
      </c>
      <c r="T86" s="277">
        <f t="shared" si="42"/>
        <v>0.89915035094200191</v>
      </c>
      <c r="U86" s="270">
        <f t="shared" si="35"/>
        <v>2.0000000000000001E-10</v>
      </c>
      <c r="V86" s="270">
        <f>18*(10^(-12))</f>
        <v>1.7999999999999999E-11</v>
      </c>
      <c r="W86" s="263">
        <f>U86/V86</f>
        <v>11.111111111111112</v>
      </c>
      <c r="X86" s="263">
        <f>W86*$T$40</f>
        <v>0.33333333333333337</v>
      </c>
      <c r="Y86" s="1492"/>
      <c r="Z86" s="154">
        <f t="shared" si="43"/>
        <v>2.9992900744423942E-8</v>
      </c>
      <c r="AA86" s="277">
        <f t="shared" si="49"/>
        <v>3.1139582156973464</v>
      </c>
      <c r="AB86" s="277">
        <f t="shared" si="44"/>
        <v>2206.0600618576109</v>
      </c>
      <c r="AC86" s="277">
        <f t="shared" si="45"/>
        <v>1389.9831984284699</v>
      </c>
      <c r="AD86" s="277">
        <f t="shared" si="47"/>
        <v>3.1139582156973464</v>
      </c>
    </row>
    <row r="87" spans="1:30">
      <c r="A87" s="1857"/>
      <c r="B87" s="269" t="s">
        <v>483</v>
      </c>
      <c r="C87" s="277">
        <f>$C$70+$G$41</f>
        <v>1.5271428571428571</v>
      </c>
      <c r="D87" s="277">
        <v>20</v>
      </c>
      <c r="E87" s="263" t="s">
        <v>24</v>
      </c>
      <c r="F87" s="269">
        <f t="shared" si="34"/>
        <v>2.0000000000000001E-10</v>
      </c>
      <c r="G87" s="269" t="s">
        <v>24</v>
      </c>
      <c r="H87" s="269" t="s">
        <v>24</v>
      </c>
      <c r="I87" s="269" t="s">
        <v>24</v>
      </c>
      <c r="J87" s="269" t="s">
        <v>24</v>
      </c>
      <c r="K87" s="154">
        <f t="shared" si="38"/>
        <v>2.9992900744423942E-8</v>
      </c>
      <c r="L87" s="277">
        <f>L86</f>
        <v>3.9609373235460201</v>
      </c>
      <c r="M87" s="277">
        <f t="shared" si="39"/>
        <v>2336.9511438023419</v>
      </c>
      <c r="N87" s="277">
        <f t="shared" si="40"/>
        <v>1517</v>
      </c>
      <c r="O87" s="277">
        <f>O86+0.1</f>
        <v>4.0609373235460202</v>
      </c>
      <c r="P87" s="1857"/>
      <c r="Q87" s="269" t="s">
        <v>483</v>
      </c>
      <c r="R87" s="277">
        <f>$R$70+$V$41</f>
        <v>1.289047619047619</v>
      </c>
      <c r="S87" s="277">
        <v>20</v>
      </c>
      <c r="T87" s="263" t="s">
        <v>24</v>
      </c>
      <c r="U87" s="269">
        <f t="shared" si="35"/>
        <v>2.0000000000000001E-10</v>
      </c>
      <c r="V87" s="269" t="s">
        <v>24</v>
      </c>
      <c r="W87" s="269" t="s">
        <v>24</v>
      </c>
      <c r="X87" s="269" t="s">
        <v>24</v>
      </c>
      <c r="Y87" s="269" t="s">
        <v>24</v>
      </c>
      <c r="Z87" s="154">
        <f t="shared" si="43"/>
        <v>2.9992900744423942E-8</v>
      </c>
      <c r="AA87" s="277">
        <f>AA86</f>
        <v>3.1139582156973464</v>
      </c>
      <c r="AB87" s="277">
        <f t="shared" si="44"/>
        <v>2336.9511438023419</v>
      </c>
      <c r="AC87" s="277">
        <f t="shared" si="45"/>
        <v>1389.9831984284699</v>
      </c>
      <c r="AD87" s="277">
        <f>AD86+0.1</f>
        <v>3.2139582156973465</v>
      </c>
    </row>
    <row r="88" spans="1:30">
      <c r="A88" s="1857"/>
      <c r="B88" s="1866" t="s">
        <v>473</v>
      </c>
      <c r="C88" s="1866"/>
      <c r="D88" s="1866"/>
      <c r="E88" s="1867"/>
      <c r="F88" s="1868" t="s">
        <v>473</v>
      </c>
      <c r="G88" s="1869"/>
      <c r="H88" s="1869"/>
      <c r="I88" s="1869"/>
      <c r="J88" s="1869"/>
      <c r="K88" s="1869"/>
      <c r="L88" s="1869"/>
      <c r="M88" s="1869"/>
      <c r="N88" s="1869"/>
      <c r="O88" s="1870"/>
      <c r="P88" s="1857"/>
      <c r="Q88" s="1866" t="s">
        <v>473</v>
      </c>
      <c r="R88" s="1866"/>
      <c r="S88" s="1866"/>
      <c r="T88" s="1867"/>
      <c r="U88" s="1868" t="s">
        <v>473</v>
      </c>
      <c r="V88" s="1869"/>
      <c r="W88" s="1869"/>
      <c r="X88" s="1869"/>
      <c r="Y88" s="1869"/>
      <c r="Z88" s="1869"/>
      <c r="AA88" s="1869"/>
      <c r="AB88" s="1869"/>
      <c r="AC88" s="1869"/>
      <c r="AD88" s="1870"/>
    </row>
    <row r="89" spans="1:30">
      <c r="A89" s="1857"/>
      <c r="B89" s="1871" t="str">
        <f>IF(E86&gt;$J$12,"Non ha inizio la crescita di muffe","Ha inizio la crescita di muffe")</f>
        <v>Non ha inizio la crescita di muffe</v>
      </c>
      <c r="C89" s="1871"/>
      <c r="D89" s="1871"/>
      <c r="E89" s="1872"/>
      <c r="F89" s="1873" t="s">
        <v>487</v>
      </c>
      <c r="G89" s="1871"/>
      <c r="H89" s="1871"/>
      <c r="I89" s="1871"/>
      <c r="J89" s="1871"/>
      <c r="K89" s="1871"/>
      <c r="L89" s="1871"/>
      <c r="M89" s="1871"/>
      <c r="N89" s="1871"/>
      <c r="O89" s="1872"/>
      <c r="P89" s="1857"/>
      <c r="Q89" s="1871" t="str">
        <f>IF(T86&gt;$J$12,"Non ha inizio la crescita di muffe","Ha inizio la crescita di muffe")</f>
        <v>Non ha inizio la crescita di muffe</v>
      </c>
      <c r="R89" s="1871"/>
      <c r="S89" s="1871"/>
      <c r="T89" s="1872"/>
      <c r="U89" s="1873" t="s">
        <v>487</v>
      </c>
      <c r="V89" s="1871"/>
      <c r="W89" s="1871"/>
      <c r="X89" s="1871"/>
      <c r="Y89" s="1871"/>
      <c r="Z89" s="1871"/>
      <c r="AA89" s="1871"/>
      <c r="AB89" s="1871"/>
      <c r="AC89" s="1871"/>
      <c r="AD89" s="1872"/>
    </row>
    <row r="90" spans="1:30">
      <c r="B90" s="86"/>
      <c r="C90" s="86"/>
      <c r="D90" s="86"/>
      <c r="E90" s="86"/>
      <c r="F90" s="86"/>
      <c r="G90" s="86"/>
      <c r="H90" s="86"/>
      <c r="I90" s="86"/>
      <c r="J90" s="86"/>
      <c r="K90" s="86"/>
      <c r="L90" s="86"/>
      <c r="M90" s="86"/>
      <c r="N90" s="86"/>
      <c r="O90" s="86"/>
    </row>
    <row r="91" spans="1:30">
      <c r="B91" s="86"/>
      <c r="C91" s="86"/>
      <c r="D91" s="86"/>
      <c r="E91" s="86"/>
      <c r="F91" s="86"/>
      <c r="G91" s="86"/>
      <c r="H91" s="86"/>
      <c r="I91" s="86"/>
      <c r="J91" s="86"/>
      <c r="K91" s="86"/>
      <c r="L91" s="86"/>
      <c r="M91" s="86"/>
      <c r="N91" s="86"/>
      <c r="O91" s="86"/>
    </row>
    <row r="92" spans="1:30">
      <c r="B92" s="86"/>
      <c r="C92" s="86"/>
      <c r="D92" s="86"/>
      <c r="E92" s="86"/>
      <c r="F92" s="86"/>
      <c r="G92" s="86"/>
      <c r="H92" s="86"/>
      <c r="I92" s="86"/>
      <c r="J92" s="86"/>
      <c r="K92" s="86"/>
      <c r="L92" s="86"/>
      <c r="M92" s="86"/>
      <c r="N92" s="86"/>
      <c r="O92" s="86"/>
    </row>
    <row r="93" spans="1:30">
      <c r="B93" s="86"/>
      <c r="C93" s="86"/>
      <c r="D93" s="86"/>
      <c r="E93" s="86"/>
      <c r="F93" s="86"/>
      <c r="G93" s="86"/>
      <c r="H93" s="86"/>
      <c r="I93" s="86"/>
      <c r="J93" s="86"/>
      <c r="K93" s="86"/>
      <c r="L93" s="86"/>
      <c r="M93" s="86"/>
      <c r="N93" s="86"/>
      <c r="O93" s="86"/>
    </row>
    <row r="94" spans="1:30">
      <c r="B94" s="86"/>
      <c r="C94" s="86"/>
      <c r="D94" s="86"/>
      <c r="E94" s="86"/>
      <c r="F94" s="86"/>
      <c r="G94" s="86"/>
      <c r="H94" s="86"/>
      <c r="I94" s="86"/>
      <c r="J94" s="86"/>
      <c r="K94" s="86"/>
      <c r="L94" s="86"/>
      <c r="M94" s="86"/>
      <c r="N94" s="86"/>
      <c r="O94" s="86"/>
    </row>
    <row r="95" spans="1:30">
      <c r="B95" s="86"/>
      <c r="C95" s="86"/>
      <c r="D95" s="86"/>
      <c r="E95" s="86"/>
      <c r="F95" s="86"/>
      <c r="G95" s="86"/>
      <c r="H95" s="86"/>
      <c r="I95" s="86"/>
      <c r="J95" s="86"/>
      <c r="K95" s="86"/>
      <c r="L95" s="86"/>
      <c r="M95" s="86"/>
      <c r="N95" s="86"/>
      <c r="O95" s="86"/>
    </row>
    <row r="96" spans="1:30">
      <c r="B96" s="86"/>
      <c r="C96" s="86"/>
      <c r="D96" s="86"/>
      <c r="E96" s="86"/>
      <c r="F96" s="86"/>
      <c r="G96" s="86"/>
      <c r="H96" s="86"/>
      <c r="I96" s="86"/>
      <c r="J96" s="86"/>
      <c r="K96" s="86"/>
      <c r="L96" s="86"/>
      <c r="M96" s="86"/>
      <c r="N96" s="86"/>
      <c r="O96" s="86"/>
    </row>
    <row r="97" spans="1:30">
      <c r="B97" s="86"/>
      <c r="C97" s="86"/>
      <c r="D97" s="86"/>
      <c r="E97" s="86"/>
      <c r="F97" s="86"/>
      <c r="G97" s="86"/>
      <c r="H97" s="86"/>
      <c r="I97" s="86"/>
      <c r="J97" s="86"/>
      <c r="K97" s="86"/>
      <c r="L97" s="86"/>
      <c r="M97" s="86"/>
      <c r="N97" s="86"/>
      <c r="O97" s="86"/>
    </row>
    <row r="98" spans="1:30">
      <c r="B98" s="86"/>
      <c r="C98" s="86"/>
      <c r="D98" s="86"/>
      <c r="E98" s="86"/>
      <c r="F98" s="86"/>
      <c r="G98" s="86"/>
      <c r="H98" s="86"/>
      <c r="I98" s="86"/>
      <c r="J98" s="86"/>
      <c r="K98" s="86"/>
      <c r="L98" s="86"/>
      <c r="M98" s="86"/>
      <c r="N98" s="86"/>
      <c r="O98" s="86"/>
    </row>
    <row r="99" spans="1:30">
      <c r="B99" s="86"/>
      <c r="C99" s="86"/>
      <c r="D99" s="86"/>
      <c r="E99" s="86"/>
      <c r="F99" s="86"/>
      <c r="G99" s="86"/>
      <c r="H99" s="86"/>
      <c r="I99" s="86"/>
      <c r="J99" s="86"/>
      <c r="K99" s="86"/>
      <c r="L99" s="86"/>
      <c r="M99" s="86"/>
      <c r="N99" s="86"/>
      <c r="O99" s="86"/>
    </row>
    <row r="100" spans="1:30">
      <c r="B100" s="86"/>
      <c r="C100" s="86"/>
      <c r="D100" s="86"/>
      <c r="E100" s="86"/>
      <c r="F100" s="86"/>
      <c r="G100" s="86"/>
      <c r="H100" s="86"/>
      <c r="I100" s="86"/>
      <c r="J100" s="86"/>
      <c r="K100" s="86"/>
      <c r="L100" s="86"/>
      <c r="M100" s="86"/>
      <c r="N100" s="86"/>
      <c r="O100" s="86"/>
    </row>
    <row r="101" spans="1:30">
      <c r="B101" s="86"/>
      <c r="C101" s="86"/>
      <c r="D101" s="86"/>
      <c r="E101" s="86"/>
      <c r="F101" s="86"/>
      <c r="G101" s="86"/>
      <c r="H101" s="86"/>
      <c r="I101" s="86"/>
      <c r="J101" s="86"/>
      <c r="K101" s="86"/>
      <c r="L101" s="86"/>
      <c r="M101" s="86"/>
      <c r="N101" s="86"/>
      <c r="O101" s="86"/>
    </row>
    <row r="102" spans="1:30">
      <c r="B102" s="86"/>
      <c r="C102" s="86"/>
      <c r="D102" s="86"/>
      <c r="E102" s="86"/>
      <c r="F102" s="86"/>
      <c r="G102" s="86"/>
      <c r="H102" s="86"/>
      <c r="I102" s="86"/>
      <c r="J102" s="86"/>
      <c r="K102" s="86"/>
      <c r="L102" s="86"/>
      <c r="M102" s="86"/>
      <c r="N102" s="86"/>
      <c r="O102" s="86"/>
    </row>
    <row r="103" spans="1:30">
      <c r="B103" s="86"/>
      <c r="C103" s="86"/>
      <c r="D103" s="86"/>
      <c r="E103" s="86"/>
      <c r="F103" s="86"/>
      <c r="G103" s="86"/>
      <c r="H103" s="86"/>
      <c r="I103" s="86"/>
      <c r="J103" s="86"/>
      <c r="K103" s="86"/>
      <c r="L103" s="86"/>
      <c r="M103" s="86"/>
      <c r="N103" s="86"/>
      <c r="O103" s="86"/>
    </row>
    <row r="104" spans="1:30">
      <c r="B104" s="86"/>
      <c r="C104" s="86"/>
      <c r="D104" s="86"/>
      <c r="E104" s="86"/>
      <c r="F104" s="86"/>
      <c r="G104" s="86"/>
      <c r="H104" s="86"/>
      <c r="I104" s="86"/>
      <c r="J104" s="86"/>
      <c r="K104" s="86"/>
      <c r="L104" s="86"/>
      <c r="M104" s="86"/>
      <c r="N104" s="86"/>
      <c r="O104" s="86"/>
    </row>
    <row r="105" spans="1:30">
      <c r="B105" s="86"/>
      <c r="C105" s="86"/>
      <c r="D105" s="86"/>
      <c r="E105" s="86"/>
      <c r="F105" s="86"/>
      <c r="G105" s="86"/>
      <c r="H105" s="86"/>
      <c r="I105" s="86"/>
      <c r="J105" s="86"/>
      <c r="K105" s="86"/>
      <c r="L105" s="86"/>
      <c r="M105" s="86"/>
      <c r="N105" s="86"/>
      <c r="O105" s="86"/>
    </row>
    <row r="106" spans="1:30">
      <c r="B106" s="86"/>
      <c r="C106" s="86"/>
      <c r="D106" s="86"/>
      <c r="E106" s="86"/>
      <c r="F106" s="86"/>
      <c r="G106" s="86"/>
      <c r="H106" s="86"/>
      <c r="I106" s="86"/>
      <c r="J106" s="86"/>
      <c r="K106" s="86"/>
      <c r="L106" s="86"/>
      <c r="M106" s="86"/>
      <c r="N106" s="86"/>
      <c r="O106" s="86"/>
    </row>
    <row r="107" spans="1:30">
      <c r="B107" s="86"/>
      <c r="C107" s="86"/>
      <c r="D107" s="86"/>
      <c r="E107" s="86"/>
      <c r="F107" s="86"/>
      <c r="G107" s="86"/>
      <c r="H107" s="86"/>
      <c r="I107" s="86"/>
      <c r="J107" s="86"/>
      <c r="K107" s="86"/>
      <c r="L107" s="86"/>
      <c r="M107" s="86"/>
      <c r="N107" s="86"/>
      <c r="O107" s="86"/>
    </row>
    <row r="108" spans="1:30">
      <c r="B108" s="86"/>
      <c r="C108" s="86"/>
      <c r="D108" s="86"/>
      <c r="E108" s="86"/>
      <c r="F108" s="86"/>
      <c r="G108" s="86"/>
      <c r="H108" s="86"/>
      <c r="I108" s="86"/>
      <c r="J108" s="86"/>
      <c r="K108" s="86"/>
      <c r="L108" s="86"/>
      <c r="M108" s="86"/>
      <c r="N108" s="86"/>
      <c r="O108" s="86"/>
    </row>
    <row r="109" spans="1:30">
      <c r="A109" s="278" t="s">
        <v>0</v>
      </c>
      <c r="B109" s="1620" t="s">
        <v>566</v>
      </c>
      <c r="C109" s="1621"/>
      <c r="D109" s="1621"/>
      <c r="E109" s="1622"/>
      <c r="F109" s="1508"/>
      <c r="G109" s="1402" t="s">
        <v>567</v>
      </c>
      <c r="H109" s="1403"/>
      <c r="I109" s="1403"/>
      <c r="J109" s="1403"/>
      <c r="K109" s="1404"/>
      <c r="L109" s="1352" t="s">
        <v>5</v>
      </c>
      <c r="M109" s="1353"/>
      <c r="N109" s="1352" t="s">
        <v>6</v>
      </c>
      <c r="O109" s="1353"/>
      <c r="P109" s="278" t="s">
        <v>0</v>
      </c>
      <c r="Q109" s="1620" t="s">
        <v>566</v>
      </c>
      <c r="R109" s="1621"/>
      <c r="S109" s="1621"/>
      <c r="T109" s="1622"/>
      <c r="U109" s="1508"/>
      <c r="V109" s="1402" t="s">
        <v>567</v>
      </c>
      <c r="W109" s="1403"/>
      <c r="X109" s="1403"/>
      <c r="Y109" s="1403"/>
      <c r="Z109" s="1404"/>
      <c r="AA109" s="1352" t="s">
        <v>5</v>
      </c>
      <c r="AB109" s="1353"/>
      <c r="AC109" s="1352" t="s">
        <v>6</v>
      </c>
      <c r="AD109" s="1353"/>
    </row>
    <row r="110" spans="1:30" ht="23.5" customHeight="1">
      <c r="A110" s="47">
        <v>14</v>
      </c>
      <c r="B110" s="1511" t="s">
        <v>434</v>
      </c>
      <c r="C110" s="1512"/>
      <c r="D110" s="1512"/>
      <c r="E110" s="1513"/>
      <c r="F110" s="1509"/>
      <c r="G110" s="1414" t="s">
        <v>568</v>
      </c>
      <c r="H110" s="1415"/>
      <c r="I110" s="1415"/>
      <c r="J110" s="1415"/>
      <c r="K110" s="1416"/>
      <c r="L110" s="1391" t="s">
        <v>569</v>
      </c>
      <c r="M110" s="1392"/>
      <c r="N110" s="1391"/>
      <c r="O110" s="1392"/>
      <c r="P110" s="47">
        <v>14</v>
      </c>
      <c r="Q110" s="1511" t="s">
        <v>434</v>
      </c>
      <c r="R110" s="1512"/>
      <c r="S110" s="1512"/>
      <c r="T110" s="1513"/>
      <c r="U110" s="1509"/>
      <c r="V110" s="1414" t="s">
        <v>568</v>
      </c>
      <c r="W110" s="1415"/>
      <c r="X110" s="1415"/>
      <c r="Y110" s="1415"/>
      <c r="Z110" s="1416"/>
      <c r="AA110" s="1391" t="s">
        <v>569</v>
      </c>
      <c r="AB110" s="1392"/>
      <c r="AC110" s="1391"/>
      <c r="AD110" s="1392"/>
    </row>
    <row r="111" spans="1:30">
      <c r="A111" s="48" t="s">
        <v>65</v>
      </c>
      <c r="B111" s="1514"/>
      <c r="C111" s="1515"/>
      <c r="D111" s="1515"/>
      <c r="E111" s="1516"/>
      <c r="F111" s="1510"/>
      <c r="G111" s="1542" t="s">
        <v>572</v>
      </c>
      <c r="H111" s="1543"/>
      <c r="I111" s="1543"/>
      <c r="J111" s="1543"/>
      <c r="K111" s="1544"/>
      <c r="L111" s="1357" t="s">
        <v>570</v>
      </c>
      <c r="M111" s="1358"/>
      <c r="N111" s="1357"/>
      <c r="O111" s="1358"/>
      <c r="P111" s="48" t="s">
        <v>72</v>
      </c>
      <c r="Q111" s="1514"/>
      <c r="R111" s="1515"/>
      <c r="S111" s="1515"/>
      <c r="T111" s="1516"/>
      <c r="U111" s="1510"/>
      <c r="V111" s="1542" t="s">
        <v>572</v>
      </c>
      <c r="W111" s="1543"/>
      <c r="X111" s="1543"/>
      <c r="Y111" s="1543"/>
      <c r="Z111" s="1544"/>
      <c r="AA111" s="1357" t="s">
        <v>570</v>
      </c>
      <c r="AB111" s="1358"/>
      <c r="AC111" s="1357"/>
      <c r="AD111" s="1358"/>
    </row>
    <row r="112" spans="1:30">
      <c r="P112" s="294"/>
      <c r="Q112" s="138"/>
      <c r="R112" s="138"/>
      <c r="S112" s="138"/>
      <c r="T112" s="138"/>
      <c r="U112" s="138"/>
      <c r="V112" s="138"/>
      <c r="W112" s="86"/>
      <c r="X112" s="86"/>
      <c r="Y112" s="86"/>
      <c r="Z112" s="86"/>
      <c r="AA112" s="86"/>
      <c r="AB112" s="86"/>
      <c r="AC112" s="86"/>
      <c r="AD112" s="86"/>
    </row>
    <row r="113" spans="1:30">
      <c r="P113" s="20"/>
      <c r="Q113" s="86"/>
      <c r="R113" s="86"/>
      <c r="S113" s="86"/>
      <c r="T113" s="86"/>
      <c r="U113" s="86"/>
      <c r="V113" s="86"/>
      <c r="W113" s="86"/>
      <c r="X113" s="86"/>
      <c r="Y113" s="86"/>
      <c r="Z113" s="86"/>
      <c r="AA113" s="86"/>
      <c r="AB113" s="86"/>
      <c r="AC113" s="86"/>
      <c r="AD113" s="86"/>
    </row>
    <row r="114" spans="1:30">
      <c r="A114" s="1857" t="s">
        <v>206</v>
      </c>
      <c r="B114" s="1858" t="s">
        <v>463</v>
      </c>
      <c r="C114" s="1858"/>
      <c r="D114" s="1858"/>
      <c r="E114" s="1858"/>
      <c r="F114" s="1859" t="s">
        <v>488</v>
      </c>
      <c r="G114" s="1860"/>
      <c r="H114" s="1860"/>
      <c r="I114" s="1860"/>
      <c r="J114" s="1860"/>
      <c r="K114" s="1860"/>
      <c r="L114" s="1860"/>
      <c r="M114" s="1860"/>
      <c r="N114" s="1860"/>
      <c r="O114" s="1861"/>
      <c r="P114" s="1857" t="s">
        <v>206</v>
      </c>
      <c r="Q114" s="1858" t="s">
        <v>463</v>
      </c>
      <c r="R114" s="1858"/>
      <c r="S114" s="1858"/>
      <c r="T114" s="1858"/>
      <c r="U114" s="1859" t="s">
        <v>488</v>
      </c>
      <c r="V114" s="1860"/>
      <c r="W114" s="1860"/>
      <c r="X114" s="1860"/>
      <c r="Y114" s="1860"/>
      <c r="Z114" s="1860"/>
      <c r="AA114" s="1860"/>
      <c r="AB114" s="1860"/>
      <c r="AC114" s="1860"/>
      <c r="AD114" s="1861"/>
    </row>
    <row r="115" spans="1:30">
      <c r="A115" s="1857"/>
      <c r="B115" s="1858"/>
      <c r="C115" s="1858"/>
      <c r="D115" s="1858"/>
      <c r="E115" s="1858"/>
      <c r="F115" s="1862"/>
      <c r="G115" s="1863"/>
      <c r="H115" s="1863"/>
      <c r="I115" s="1863"/>
      <c r="J115" s="1863"/>
      <c r="K115" s="1863"/>
      <c r="L115" s="1863"/>
      <c r="M115" s="1863"/>
      <c r="N115" s="1863"/>
      <c r="O115" s="1864"/>
      <c r="P115" s="1857"/>
      <c r="Q115" s="1858"/>
      <c r="R115" s="1858"/>
      <c r="S115" s="1858"/>
      <c r="T115" s="1858"/>
      <c r="U115" s="1862"/>
      <c r="V115" s="1863"/>
      <c r="W115" s="1863"/>
      <c r="X115" s="1863"/>
      <c r="Y115" s="1863"/>
      <c r="Z115" s="1863"/>
      <c r="AA115" s="1863"/>
      <c r="AB115" s="1863"/>
      <c r="AC115" s="1863"/>
      <c r="AD115" s="1864"/>
    </row>
    <row r="116" spans="1:30" ht="17">
      <c r="A116" s="1857"/>
      <c r="B116" s="1865" t="s">
        <v>469</v>
      </c>
      <c r="C116" s="173" t="s">
        <v>467</v>
      </c>
      <c r="D116" s="287" t="s">
        <v>470</v>
      </c>
      <c r="E116" s="290" t="s">
        <v>471</v>
      </c>
      <c r="F116" s="290" t="s">
        <v>475</v>
      </c>
      <c r="G116" s="288" t="s">
        <v>476</v>
      </c>
      <c r="H116" s="288" t="s">
        <v>477</v>
      </c>
      <c r="I116" s="288" t="s">
        <v>478</v>
      </c>
      <c r="J116" s="181" t="s">
        <v>480</v>
      </c>
      <c r="K116" s="181" t="s">
        <v>481</v>
      </c>
      <c r="L116" s="212" t="s">
        <v>479</v>
      </c>
      <c r="M116" s="212" t="s">
        <v>484</v>
      </c>
      <c r="N116" s="212" t="s">
        <v>485</v>
      </c>
      <c r="O116" s="212" t="s">
        <v>486</v>
      </c>
      <c r="P116" s="1857"/>
      <c r="Q116" s="1865" t="s">
        <v>469</v>
      </c>
      <c r="R116" s="173" t="s">
        <v>467</v>
      </c>
      <c r="S116" s="287" t="s">
        <v>470</v>
      </c>
      <c r="T116" s="290" t="s">
        <v>471</v>
      </c>
      <c r="U116" s="290" t="s">
        <v>475</v>
      </c>
      <c r="V116" s="288" t="s">
        <v>476</v>
      </c>
      <c r="W116" s="288" t="s">
        <v>477</v>
      </c>
      <c r="X116" s="288" t="s">
        <v>478</v>
      </c>
      <c r="Y116" s="181" t="s">
        <v>480</v>
      </c>
      <c r="Z116" s="181" t="s">
        <v>481</v>
      </c>
      <c r="AA116" s="212" t="s">
        <v>479</v>
      </c>
      <c r="AB116" s="212" t="s">
        <v>484</v>
      </c>
      <c r="AC116" s="212" t="s">
        <v>485</v>
      </c>
      <c r="AD116" s="212" t="s">
        <v>486</v>
      </c>
    </row>
    <row r="117" spans="1:30" ht="16">
      <c r="A117" s="1857"/>
      <c r="B117" s="1865"/>
      <c r="C117" s="174" t="s">
        <v>45</v>
      </c>
      <c r="D117" s="289" t="s">
        <v>351</v>
      </c>
      <c r="E117" s="291" t="s">
        <v>24</v>
      </c>
      <c r="F117" s="267" t="s">
        <v>474</v>
      </c>
      <c r="G117" s="267" t="s">
        <v>474</v>
      </c>
      <c r="H117" s="267" t="s">
        <v>24</v>
      </c>
      <c r="I117" s="267" t="s">
        <v>31</v>
      </c>
      <c r="J117" s="267" t="s">
        <v>31</v>
      </c>
      <c r="K117" s="267" t="s">
        <v>482</v>
      </c>
      <c r="L117" s="267" t="s">
        <v>31</v>
      </c>
      <c r="M117" s="267" t="s">
        <v>443</v>
      </c>
      <c r="N117" s="267" t="s">
        <v>443</v>
      </c>
      <c r="O117" s="267" t="s">
        <v>24</v>
      </c>
      <c r="P117" s="1857"/>
      <c r="Q117" s="1865"/>
      <c r="R117" s="174" t="s">
        <v>45</v>
      </c>
      <c r="S117" s="289" t="s">
        <v>351</v>
      </c>
      <c r="T117" s="291" t="s">
        <v>24</v>
      </c>
      <c r="U117" s="267" t="s">
        <v>474</v>
      </c>
      <c r="V117" s="267" t="s">
        <v>474</v>
      </c>
      <c r="W117" s="267" t="s">
        <v>24</v>
      </c>
      <c r="X117" s="267" t="s">
        <v>31</v>
      </c>
      <c r="Y117" s="267" t="s">
        <v>31</v>
      </c>
      <c r="Z117" s="267" t="s">
        <v>482</v>
      </c>
      <c r="AA117" s="267" t="s">
        <v>31</v>
      </c>
      <c r="AB117" s="267" t="s">
        <v>443</v>
      </c>
      <c r="AC117" s="267" t="s">
        <v>443</v>
      </c>
      <c r="AD117" s="267" t="s">
        <v>24</v>
      </c>
    </row>
    <row r="118" spans="1:30">
      <c r="A118" s="1857"/>
      <c r="B118" s="282" t="s">
        <v>472</v>
      </c>
      <c r="C118" s="277">
        <f>$H$34</f>
        <v>0.04</v>
      </c>
      <c r="D118" s="277">
        <f>$C$49+(C118/$N$40)*($B$49-$C$49)</f>
        <v>12.988587464920487</v>
      </c>
      <c r="E118" s="277">
        <f>(D118-$C$49)/($B$49-$C$49)</f>
        <v>2.6192703461178638E-2</v>
      </c>
      <c r="F118" s="269">
        <f t="shared" ref="F118:F125" si="50">2*(1/10^10)</f>
        <v>2.0000000000000001E-10</v>
      </c>
      <c r="G118" s="269" t="s">
        <v>24</v>
      </c>
      <c r="H118" s="269" t="s">
        <v>24</v>
      </c>
      <c r="I118" s="269" t="s">
        <v>24</v>
      </c>
      <c r="J118" s="269" t="s">
        <v>24</v>
      </c>
      <c r="K118" s="87">
        <v>0</v>
      </c>
      <c r="L118" s="277">
        <v>0</v>
      </c>
      <c r="M118" s="277">
        <f>610.5*EXP((17.269*D118)/(237.3+D118))</f>
        <v>1495.8404071457205</v>
      </c>
      <c r="N118" s="277">
        <f>$C$13+L118/F118*K118</f>
        <v>1011</v>
      </c>
      <c r="O118" s="269">
        <v>0</v>
      </c>
      <c r="P118" s="1857"/>
      <c r="Q118" s="282" t="s">
        <v>472</v>
      </c>
      <c r="R118" s="277">
        <f>$W$34</f>
        <v>0.04</v>
      </c>
      <c r="S118" s="277">
        <f>$R$49+(R118/$AC$40)*($Q$49-$R$49)</f>
        <v>13.023420760990026</v>
      </c>
      <c r="T118" s="277">
        <f>(S118-$R$49)/($Q$49-$R$49)</f>
        <v>3.1030661248614672E-2</v>
      </c>
      <c r="U118" s="269">
        <f t="shared" ref="U118:U125" si="51">2*(1/10^10)</f>
        <v>2.0000000000000001E-10</v>
      </c>
      <c r="V118" s="269" t="s">
        <v>24</v>
      </c>
      <c r="W118" s="269" t="s">
        <v>24</v>
      </c>
      <c r="X118" s="269" t="s">
        <v>24</v>
      </c>
      <c r="Y118" s="269" t="s">
        <v>24</v>
      </c>
      <c r="Z118" s="87">
        <v>0</v>
      </c>
      <c r="AA118" s="277">
        <v>0</v>
      </c>
      <c r="AB118" s="277">
        <f>610.5*EXP((17.269*S118)/(237.3+S118))</f>
        <v>1499.2523131221931</v>
      </c>
      <c r="AC118" s="277">
        <f>$C$13+AA118/U118*Z118</f>
        <v>1011</v>
      </c>
      <c r="AD118" s="269">
        <v>0</v>
      </c>
    </row>
    <row r="119" spans="1:30">
      <c r="A119" s="1857"/>
      <c r="B119" s="282">
        <v>1</v>
      </c>
      <c r="C119" s="277">
        <f>$H$35</f>
        <v>0.19</v>
      </c>
      <c r="D119" s="277">
        <f t="shared" ref="D119:D124" si="52">$C$49+(C119/$N$40)*($B$49-$C$49)</f>
        <v>13.695790458372311</v>
      </c>
      <c r="E119" s="277">
        <f t="shared" ref="E119:E124" si="53">(D119-$C$49)/($B$49-$C$49)</f>
        <v>0.12441534144059871</v>
      </c>
      <c r="F119" s="269">
        <f t="shared" si="50"/>
        <v>2.0000000000000001E-10</v>
      </c>
      <c r="G119" s="269">
        <f>30*(10^(-12))</f>
        <v>3E-11</v>
      </c>
      <c r="H119" s="277">
        <f>F119/G119</f>
        <v>6.666666666666667</v>
      </c>
      <c r="I119" s="277">
        <f>H119*$E$35</f>
        <v>0.8</v>
      </c>
      <c r="J119" s="1588">
        <f>SUM(I119:I124)</f>
        <v>3.9609373235460201</v>
      </c>
      <c r="K119" s="154">
        <f t="shared" ref="K119:K125" si="54">F119*(($F$13-$C$13)/$J$65)</f>
        <v>2.9992900744423942E-8</v>
      </c>
      <c r="L119" s="277">
        <f>I119</f>
        <v>0.8</v>
      </c>
      <c r="M119" s="277">
        <f t="shared" ref="M119:M125" si="55">610.5*EXP((17.269*D119)/(237.3+D119))</f>
        <v>1566.462847786818</v>
      </c>
      <c r="N119" s="277">
        <f t="shared" ref="N119:N125" si="56">$C$13+L119/F119*K119</f>
        <v>1130.9716029776957</v>
      </c>
      <c r="O119" s="277">
        <f>L119</f>
        <v>0.8</v>
      </c>
      <c r="P119" s="1857"/>
      <c r="Q119" s="282">
        <v>1</v>
      </c>
      <c r="R119" s="277">
        <f>$W$35</f>
        <v>0.19</v>
      </c>
      <c r="S119" s="277">
        <f t="shared" ref="S119:S124" si="57">$R$49+(R119/$AC$40)*($Q$49-$R$49)</f>
        <v>13.861248614702623</v>
      </c>
      <c r="T119" s="277">
        <f t="shared" ref="T119:T124" si="58">(S119-$R$49)/($Q$49-$R$49)</f>
        <v>0.14739564093091975</v>
      </c>
      <c r="U119" s="269">
        <f t="shared" si="51"/>
        <v>2.0000000000000001E-10</v>
      </c>
      <c r="V119" s="269">
        <f>30*(10^(-12))</f>
        <v>3E-11</v>
      </c>
      <c r="W119" s="277">
        <f>U119/V119</f>
        <v>6.666666666666667</v>
      </c>
      <c r="X119" s="277">
        <f>W119*$T$35</f>
        <v>0.8</v>
      </c>
      <c r="Y119" s="1588">
        <f>SUM(X119:X124)</f>
        <v>3.1139582156973464</v>
      </c>
      <c r="Z119" s="154">
        <f t="shared" ref="Z119:Z125" si="59">U119*(($F$13-$C$13)/$J$65)</f>
        <v>2.9992900744423942E-8</v>
      </c>
      <c r="AA119" s="277">
        <f>X119</f>
        <v>0.8</v>
      </c>
      <c r="AB119" s="277">
        <f t="shared" ref="AB119:AB125" si="60">610.5*EXP((17.269*S119)/(237.3+S119))</f>
        <v>1583.4020040828646</v>
      </c>
      <c r="AC119" s="277">
        <f t="shared" ref="AC119:AC125" si="61">$C$13+AA119/U119*Z119</f>
        <v>1130.9716029776957</v>
      </c>
      <c r="AD119" s="277">
        <f>AA119</f>
        <v>0.8</v>
      </c>
    </row>
    <row r="120" spans="1:30">
      <c r="A120" s="1857"/>
      <c r="B120" s="282">
        <v>2</v>
      </c>
      <c r="C120" s="277">
        <f>$H$36</f>
        <v>0.36</v>
      </c>
      <c r="D120" s="277">
        <f t="shared" si="52"/>
        <v>14.497287184284378</v>
      </c>
      <c r="E120" s="277">
        <f t="shared" si="53"/>
        <v>0.23573433115060799</v>
      </c>
      <c r="F120" s="269">
        <f t="shared" si="50"/>
        <v>2.0000000000000001E-10</v>
      </c>
      <c r="G120" s="269" t="s">
        <v>24</v>
      </c>
      <c r="H120" s="277" t="s">
        <v>24</v>
      </c>
      <c r="I120" s="277">
        <v>0.01</v>
      </c>
      <c r="J120" s="1588"/>
      <c r="K120" s="154">
        <f t="shared" si="54"/>
        <v>2.9992900744423942E-8</v>
      </c>
      <c r="L120" s="277">
        <f>I120+L119</f>
        <v>0.81</v>
      </c>
      <c r="M120" s="277">
        <f t="shared" si="55"/>
        <v>1650.0237686878438</v>
      </c>
      <c r="N120" s="277">
        <f t="shared" si="56"/>
        <v>1132.4712480149169</v>
      </c>
      <c r="O120" s="277">
        <f t="shared" ref="O120:O124" si="62">L120</f>
        <v>0.81</v>
      </c>
      <c r="P120" s="1857"/>
      <c r="Q120" s="282">
        <v>2</v>
      </c>
      <c r="R120" s="277">
        <f>$W$36</f>
        <v>0.36</v>
      </c>
      <c r="S120" s="277">
        <f t="shared" si="57"/>
        <v>14.810786848910233</v>
      </c>
      <c r="T120" s="277">
        <f t="shared" si="58"/>
        <v>0.27927595123753229</v>
      </c>
      <c r="U120" s="269">
        <f t="shared" si="51"/>
        <v>2.0000000000000001E-10</v>
      </c>
      <c r="V120" s="269" t="s">
        <v>24</v>
      </c>
      <c r="W120" s="277" t="s">
        <v>24</v>
      </c>
      <c r="X120" s="277">
        <v>0.01</v>
      </c>
      <c r="Y120" s="1588"/>
      <c r="Z120" s="154">
        <f t="shared" si="59"/>
        <v>2.9992900744423942E-8</v>
      </c>
      <c r="AA120" s="277">
        <f>X120+AA119</f>
        <v>0.81</v>
      </c>
      <c r="AB120" s="277">
        <f t="shared" si="60"/>
        <v>1683.7565141680295</v>
      </c>
      <c r="AC120" s="277">
        <f t="shared" si="61"/>
        <v>1132.4712480149169</v>
      </c>
      <c r="AD120" s="277">
        <f t="shared" ref="AD120:AD124" si="63">AA120</f>
        <v>0.81</v>
      </c>
    </row>
    <row r="121" spans="1:30">
      <c r="A121" s="1857"/>
      <c r="B121" s="282">
        <v>3</v>
      </c>
      <c r="C121" s="277">
        <f>$H$37</f>
        <v>0.47</v>
      </c>
      <c r="D121" s="277">
        <f t="shared" si="52"/>
        <v>15.015902712815716</v>
      </c>
      <c r="E121" s="277">
        <f t="shared" si="53"/>
        <v>0.3077642656688494</v>
      </c>
      <c r="F121" s="269">
        <f t="shared" si="50"/>
        <v>2.0000000000000001E-10</v>
      </c>
      <c r="G121" s="269">
        <f>30*(10^(-12))</f>
        <v>3E-11</v>
      </c>
      <c r="H121" s="277">
        <f>F121/G121</f>
        <v>6.666666666666667</v>
      </c>
      <c r="I121" s="277">
        <f>H121*$E$37</f>
        <v>0.26666666666666666</v>
      </c>
      <c r="J121" s="1588"/>
      <c r="K121" s="154">
        <f t="shared" si="54"/>
        <v>2.9992900744423942E-8</v>
      </c>
      <c r="L121" s="277">
        <f t="shared" ref="L121:L124" si="64">I121+L120</f>
        <v>1.0766666666666667</v>
      </c>
      <c r="M121" s="277">
        <f t="shared" si="55"/>
        <v>1706.1530019751485</v>
      </c>
      <c r="N121" s="277">
        <f t="shared" si="56"/>
        <v>1172.4617823408155</v>
      </c>
      <c r="O121" s="277">
        <f t="shared" si="62"/>
        <v>1.0766666666666667</v>
      </c>
      <c r="P121" s="1857"/>
      <c r="Q121" s="282">
        <v>3</v>
      </c>
      <c r="R121" s="277">
        <f>$W$37</f>
        <v>0.47</v>
      </c>
      <c r="S121" s="277">
        <f t="shared" si="57"/>
        <v>15.425193941632804</v>
      </c>
      <c r="T121" s="277">
        <f t="shared" si="58"/>
        <v>0.36461026967122268</v>
      </c>
      <c r="U121" s="269">
        <f t="shared" si="51"/>
        <v>2.0000000000000001E-10</v>
      </c>
      <c r="V121" s="269">
        <f>30*(10^(-12))</f>
        <v>3E-11</v>
      </c>
      <c r="W121" s="277">
        <f>U121/V121</f>
        <v>6.666666666666667</v>
      </c>
      <c r="X121" s="277">
        <f>W121*$T$37</f>
        <v>0.26666666666666666</v>
      </c>
      <c r="Y121" s="1588"/>
      <c r="Z121" s="154">
        <f t="shared" si="59"/>
        <v>2.9992900744423942E-8</v>
      </c>
      <c r="AA121" s="277">
        <f t="shared" ref="AA121:AA124" si="65">X121+AA120</f>
        <v>1.0766666666666667</v>
      </c>
      <c r="AB121" s="277">
        <f t="shared" si="60"/>
        <v>1751.625237621505</v>
      </c>
      <c r="AC121" s="277">
        <f t="shared" si="61"/>
        <v>1172.4617823408155</v>
      </c>
      <c r="AD121" s="277">
        <f t="shared" si="63"/>
        <v>1.0766666666666667</v>
      </c>
    </row>
    <row r="122" spans="1:30">
      <c r="A122" s="1857"/>
      <c r="B122" s="282">
        <v>4</v>
      </c>
      <c r="C122" s="277">
        <f>$H$38</f>
        <v>0.64</v>
      </c>
      <c r="D122" s="277">
        <f t="shared" si="52"/>
        <v>15.817399438727783</v>
      </c>
      <c r="E122" s="277">
        <f t="shared" si="53"/>
        <v>0.41908325537885871</v>
      </c>
      <c r="F122" s="269">
        <f t="shared" si="50"/>
        <v>2.0000000000000001E-10</v>
      </c>
      <c r="G122" s="269" t="s">
        <v>24</v>
      </c>
      <c r="H122" s="277" t="s">
        <v>24</v>
      </c>
      <c r="I122" s="277">
        <v>0.01</v>
      </c>
      <c r="J122" s="1588"/>
      <c r="K122" s="154">
        <f t="shared" si="54"/>
        <v>2.9992900744423942E-8</v>
      </c>
      <c r="L122" s="277">
        <f t="shared" si="64"/>
        <v>1.0866666666666667</v>
      </c>
      <c r="M122" s="277">
        <f t="shared" si="55"/>
        <v>1796.1925589816551</v>
      </c>
      <c r="N122" s="277">
        <f t="shared" si="56"/>
        <v>1173.9614273780367</v>
      </c>
      <c r="O122" s="277">
        <f t="shared" si="62"/>
        <v>1.0866666666666667</v>
      </c>
      <c r="P122" s="1857"/>
      <c r="Q122" s="282">
        <v>4</v>
      </c>
      <c r="R122" s="277">
        <f>$W$38</f>
        <v>0.64</v>
      </c>
      <c r="S122" s="277">
        <f t="shared" si="57"/>
        <v>16.374732175840414</v>
      </c>
      <c r="T122" s="277">
        <f t="shared" si="58"/>
        <v>0.49649057997783524</v>
      </c>
      <c r="U122" s="269">
        <f t="shared" si="51"/>
        <v>2.0000000000000001E-10</v>
      </c>
      <c r="V122" s="269" t="s">
        <v>24</v>
      </c>
      <c r="W122" s="277" t="s">
        <v>24</v>
      </c>
      <c r="X122" s="277">
        <v>0.01</v>
      </c>
      <c r="Y122" s="1588"/>
      <c r="Z122" s="154">
        <f t="shared" si="59"/>
        <v>2.9992900744423942E-8</v>
      </c>
      <c r="AA122" s="277">
        <f t="shared" si="65"/>
        <v>1.0866666666666667</v>
      </c>
      <c r="AB122" s="277">
        <f t="shared" si="60"/>
        <v>1861.2324675233726</v>
      </c>
      <c r="AC122" s="277">
        <f t="shared" si="61"/>
        <v>1173.9614273780367</v>
      </c>
      <c r="AD122" s="277">
        <f t="shared" si="63"/>
        <v>1.0866666666666667</v>
      </c>
    </row>
    <row r="123" spans="1:30">
      <c r="A123" s="1857"/>
      <c r="B123" s="282">
        <v>5</v>
      </c>
      <c r="C123" s="277">
        <f>$H$39</f>
        <v>1.3542857142857143</v>
      </c>
      <c r="D123" s="277">
        <f t="shared" si="52"/>
        <v>19.185032740879326</v>
      </c>
      <c r="E123" s="277">
        <f t="shared" si="53"/>
        <v>0.88681010289990636</v>
      </c>
      <c r="F123" s="269">
        <f t="shared" si="50"/>
        <v>2.0000000000000001E-10</v>
      </c>
      <c r="G123" s="269">
        <f>35.42*(10^(-12))</f>
        <v>3.5419999999999999E-11</v>
      </c>
      <c r="H123" s="277">
        <f>F123/G123</f>
        <v>5.6465273856578211</v>
      </c>
      <c r="I123" s="277">
        <f>H123*$E$39</f>
        <v>2.5409373235460198</v>
      </c>
      <c r="J123" s="1588"/>
      <c r="K123" s="154">
        <f t="shared" si="54"/>
        <v>2.9992900744423942E-8</v>
      </c>
      <c r="L123" s="277">
        <f t="shared" si="64"/>
        <v>3.6276039902126866</v>
      </c>
      <c r="M123" s="277">
        <f t="shared" si="55"/>
        <v>2221.6296483267843</v>
      </c>
      <c r="N123" s="277">
        <f t="shared" si="56"/>
        <v>1555.0118320926267</v>
      </c>
      <c r="O123" s="277">
        <f t="shared" si="62"/>
        <v>3.6276039902126866</v>
      </c>
      <c r="P123" s="1857"/>
      <c r="Q123" s="282">
        <v>5</v>
      </c>
      <c r="R123" s="277">
        <f>$W$39</f>
        <v>1.1161904761904762</v>
      </c>
      <c r="S123" s="277">
        <f t="shared" si="57"/>
        <v>19.034503140007388</v>
      </c>
      <c r="T123" s="277">
        <f t="shared" si="58"/>
        <v>0.86590321388991498</v>
      </c>
      <c r="U123" s="269">
        <f t="shared" si="51"/>
        <v>2.0000000000000001E-10</v>
      </c>
      <c r="V123" s="269">
        <f>35.42*(10^(-12))</f>
        <v>3.5419999999999999E-11</v>
      </c>
      <c r="W123" s="277">
        <f>U123/V123</f>
        <v>5.6465273856578211</v>
      </c>
      <c r="X123" s="277">
        <f>W123*$T$39</f>
        <v>1.6939582156973463</v>
      </c>
      <c r="Y123" s="1588"/>
      <c r="Z123" s="154">
        <f t="shared" si="59"/>
        <v>2.9992900744423942E-8</v>
      </c>
      <c r="AA123" s="277">
        <f t="shared" si="65"/>
        <v>2.780624882364013</v>
      </c>
      <c r="AB123" s="277">
        <f t="shared" si="60"/>
        <v>2200.8827289418064</v>
      </c>
      <c r="AC123" s="277">
        <f t="shared" si="61"/>
        <v>1427.9950305210966</v>
      </c>
      <c r="AD123" s="277">
        <f t="shared" si="63"/>
        <v>2.780624882364013</v>
      </c>
    </row>
    <row r="124" spans="1:30">
      <c r="A124" s="1857"/>
      <c r="B124" s="151">
        <v>6</v>
      </c>
      <c r="C124" s="263">
        <f>$H$40</f>
        <v>1.3971428571428572</v>
      </c>
      <c r="D124" s="277">
        <f t="shared" si="52"/>
        <v>19.387090739008421</v>
      </c>
      <c r="E124" s="277">
        <f t="shared" si="53"/>
        <v>0.91487371375116966</v>
      </c>
      <c r="F124" s="270">
        <f t="shared" si="50"/>
        <v>2.0000000000000001E-10</v>
      </c>
      <c r="G124" s="270">
        <f>18*(10^(-12))</f>
        <v>1.7999999999999999E-11</v>
      </c>
      <c r="H124" s="263">
        <f>F124/G124</f>
        <v>11.111111111111112</v>
      </c>
      <c r="I124" s="263">
        <f>H124*$E$40</f>
        <v>0.33333333333333337</v>
      </c>
      <c r="J124" s="1492"/>
      <c r="K124" s="154">
        <f t="shared" si="54"/>
        <v>2.9992900744423942E-8</v>
      </c>
      <c r="L124" s="277">
        <f t="shared" si="64"/>
        <v>3.9609373235460201</v>
      </c>
      <c r="M124" s="277">
        <f t="shared" si="55"/>
        <v>2249.7473935472485</v>
      </c>
      <c r="N124" s="277">
        <f t="shared" si="56"/>
        <v>1605</v>
      </c>
      <c r="O124" s="277">
        <f t="shared" si="62"/>
        <v>3.9609373235460201</v>
      </c>
      <c r="P124" s="1857"/>
      <c r="Q124" s="151">
        <v>6</v>
      </c>
      <c r="R124" s="277">
        <f>$W$40</f>
        <v>1.1590476190476191</v>
      </c>
      <c r="S124" s="277">
        <f t="shared" si="57"/>
        <v>19.273882526782415</v>
      </c>
      <c r="T124" s="277">
        <f t="shared" si="58"/>
        <v>0.89915035094200213</v>
      </c>
      <c r="U124" s="270">
        <f t="shared" si="51"/>
        <v>2.0000000000000001E-10</v>
      </c>
      <c r="V124" s="270">
        <f>18*(10^(-12))</f>
        <v>1.7999999999999999E-11</v>
      </c>
      <c r="W124" s="263">
        <f>U124/V124</f>
        <v>11.111111111111112</v>
      </c>
      <c r="X124" s="263">
        <f>W124*$T$40</f>
        <v>0.33333333333333337</v>
      </c>
      <c r="Y124" s="1492"/>
      <c r="Z124" s="154">
        <f t="shared" si="59"/>
        <v>2.9992900744423942E-8</v>
      </c>
      <c r="AA124" s="277">
        <f t="shared" si="65"/>
        <v>3.1139582156973464</v>
      </c>
      <c r="AB124" s="277">
        <f t="shared" si="60"/>
        <v>2233.9556009590046</v>
      </c>
      <c r="AC124" s="277">
        <f t="shared" si="61"/>
        <v>1477.9831984284699</v>
      </c>
      <c r="AD124" s="277">
        <f t="shared" si="63"/>
        <v>3.1139582156973464</v>
      </c>
    </row>
    <row r="125" spans="1:30">
      <c r="A125" s="1857"/>
      <c r="B125" s="269" t="s">
        <v>483</v>
      </c>
      <c r="C125" s="277">
        <f>$C$70+$G$41</f>
        <v>1.5271428571428571</v>
      </c>
      <c r="D125" s="277">
        <v>20</v>
      </c>
      <c r="E125" s="263" t="s">
        <v>24</v>
      </c>
      <c r="F125" s="269">
        <f t="shared" si="50"/>
        <v>2.0000000000000001E-10</v>
      </c>
      <c r="G125" s="269" t="s">
        <v>24</v>
      </c>
      <c r="H125" s="269" t="s">
        <v>24</v>
      </c>
      <c r="I125" s="269" t="s">
        <v>24</v>
      </c>
      <c r="J125" s="269" t="s">
        <v>24</v>
      </c>
      <c r="K125" s="154">
        <f t="shared" si="54"/>
        <v>2.9992900744423942E-8</v>
      </c>
      <c r="L125" s="277">
        <f>L124</f>
        <v>3.9609373235460201</v>
      </c>
      <c r="M125" s="277">
        <f t="shared" si="55"/>
        <v>2336.9511438023419</v>
      </c>
      <c r="N125" s="277">
        <f t="shared" si="56"/>
        <v>1605</v>
      </c>
      <c r="O125" s="277">
        <f>O124+0.1</f>
        <v>4.0609373235460202</v>
      </c>
      <c r="P125" s="1857"/>
      <c r="Q125" s="269" t="s">
        <v>483</v>
      </c>
      <c r="R125" s="277">
        <f>$R$70+$V$41</f>
        <v>1.289047619047619</v>
      </c>
      <c r="S125" s="277">
        <v>20</v>
      </c>
      <c r="T125" s="263" t="s">
        <v>24</v>
      </c>
      <c r="U125" s="269">
        <f t="shared" si="51"/>
        <v>2.0000000000000001E-10</v>
      </c>
      <c r="V125" s="269" t="s">
        <v>24</v>
      </c>
      <c r="W125" s="269" t="s">
        <v>24</v>
      </c>
      <c r="X125" s="269" t="s">
        <v>24</v>
      </c>
      <c r="Y125" s="269" t="s">
        <v>24</v>
      </c>
      <c r="Z125" s="154">
        <f t="shared" si="59"/>
        <v>2.9992900744423942E-8</v>
      </c>
      <c r="AA125" s="277">
        <f>AA124</f>
        <v>3.1139582156973464</v>
      </c>
      <c r="AB125" s="277">
        <f t="shared" si="60"/>
        <v>2336.9511438023419</v>
      </c>
      <c r="AC125" s="277">
        <f t="shared" si="61"/>
        <v>1477.9831984284699</v>
      </c>
      <c r="AD125" s="277">
        <f>AD124+0.1</f>
        <v>3.2139582156973465</v>
      </c>
    </row>
    <row r="126" spans="1:30">
      <c r="A126" s="1857"/>
      <c r="B126" s="1866" t="s">
        <v>473</v>
      </c>
      <c r="C126" s="1866"/>
      <c r="D126" s="1866"/>
      <c r="E126" s="1867"/>
      <c r="F126" s="1868" t="s">
        <v>473</v>
      </c>
      <c r="G126" s="1869"/>
      <c r="H126" s="1869"/>
      <c r="I126" s="1869"/>
      <c r="J126" s="1869"/>
      <c r="K126" s="1869"/>
      <c r="L126" s="1869"/>
      <c r="M126" s="1869"/>
      <c r="N126" s="1869"/>
      <c r="O126" s="1870"/>
      <c r="P126" s="1857"/>
      <c r="Q126" s="1866" t="s">
        <v>473</v>
      </c>
      <c r="R126" s="1866"/>
      <c r="S126" s="1866"/>
      <c r="T126" s="1867"/>
      <c r="U126" s="1868" t="s">
        <v>473</v>
      </c>
      <c r="V126" s="1869"/>
      <c r="W126" s="1869"/>
      <c r="X126" s="1869"/>
      <c r="Y126" s="1869"/>
      <c r="Z126" s="1869"/>
      <c r="AA126" s="1869"/>
      <c r="AB126" s="1869"/>
      <c r="AC126" s="1869"/>
      <c r="AD126" s="1870"/>
    </row>
    <row r="127" spans="1:30">
      <c r="A127" s="1857"/>
      <c r="B127" s="1871" t="str">
        <f>IF(E124&gt;$J$13,"Non ha inizio la crescita di muffe","Ha inizio la crescita di muffe")</f>
        <v>Non ha inizio la crescita di muffe</v>
      </c>
      <c r="C127" s="1871"/>
      <c r="D127" s="1871"/>
      <c r="E127" s="1872"/>
      <c r="F127" s="1873" t="s">
        <v>487</v>
      </c>
      <c r="G127" s="1871"/>
      <c r="H127" s="1871"/>
      <c r="I127" s="1871"/>
      <c r="J127" s="1871"/>
      <c r="K127" s="1871"/>
      <c r="L127" s="1871"/>
      <c r="M127" s="1871"/>
      <c r="N127" s="1871"/>
      <c r="O127" s="1872"/>
      <c r="P127" s="1857"/>
      <c r="Q127" s="1871" t="str">
        <f>IF(T124&gt;$J$13,"Non ha inizio la crescita di muffe","Ha inizio la crescita di muffe")</f>
        <v>Non ha inizio la crescita di muffe</v>
      </c>
      <c r="R127" s="1871"/>
      <c r="S127" s="1871"/>
      <c r="T127" s="1872"/>
      <c r="U127" s="1873" t="s">
        <v>487</v>
      </c>
      <c r="V127" s="1871"/>
      <c r="W127" s="1871"/>
      <c r="X127" s="1871"/>
      <c r="Y127" s="1871"/>
      <c r="Z127" s="1871"/>
      <c r="AA127" s="1871"/>
      <c r="AB127" s="1871"/>
      <c r="AC127" s="1871"/>
      <c r="AD127" s="1872"/>
    </row>
    <row r="128" spans="1:30">
      <c r="B128" s="86"/>
      <c r="C128" s="86"/>
      <c r="D128" s="86"/>
      <c r="E128" s="86"/>
      <c r="F128" s="86"/>
      <c r="G128" s="86"/>
      <c r="H128" s="86"/>
      <c r="I128" s="86"/>
      <c r="J128" s="86"/>
      <c r="K128" s="86"/>
      <c r="L128" s="86"/>
      <c r="M128" s="86"/>
      <c r="N128" s="86"/>
      <c r="O128" s="86"/>
      <c r="P128" s="20"/>
      <c r="Q128" s="86"/>
      <c r="R128" s="86"/>
      <c r="S128" s="86"/>
      <c r="T128" s="86"/>
      <c r="U128" s="86"/>
      <c r="V128" s="86"/>
      <c r="W128" s="86"/>
      <c r="X128" s="86"/>
      <c r="Y128" s="86"/>
      <c r="Z128" s="86"/>
      <c r="AA128" s="86"/>
      <c r="AB128" s="86"/>
      <c r="AC128" s="86"/>
      <c r="AD128" s="86"/>
    </row>
    <row r="129" spans="1:30">
      <c r="B129" s="86"/>
      <c r="C129" s="86"/>
      <c r="D129" s="86"/>
      <c r="E129" s="86"/>
      <c r="F129" s="86"/>
      <c r="G129" s="86"/>
      <c r="H129" s="86"/>
      <c r="I129" s="86"/>
      <c r="J129" s="86"/>
      <c r="K129" s="86"/>
      <c r="L129" s="86"/>
      <c r="M129" s="86"/>
      <c r="N129" s="86"/>
      <c r="O129" s="86"/>
      <c r="P129" s="20"/>
      <c r="Q129" s="86"/>
      <c r="R129" s="86"/>
      <c r="S129" s="86"/>
      <c r="T129" s="86"/>
      <c r="U129" s="86"/>
      <c r="V129" s="86"/>
      <c r="W129" s="86"/>
      <c r="X129" s="86"/>
      <c r="Y129" s="86"/>
      <c r="Z129" s="86"/>
      <c r="AA129" s="86"/>
      <c r="AB129" s="86"/>
      <c r="AC129" s="86"/>
      <c r="AD129" s="86"/>
    </row>
    <row r="130" spans="1:30">
      <c r="A130" s="1857" t="s">
        <v>207</v>
      </c>
      <c r="B130" s="1858" t="s">
        <v>463</v>
      </c>
      <c r="C130" s="1858"/>
      <c r="D130" s="1858"/>
      <c r="E130" s="1858"/>
      <c r="F130" s="1859" t="s">
        <v>488</v>
      </c>
      <c r="G130" s="1860"/>
      <c r="H130" s="1860"/>
      <c r="I130" s="1860"/>
      <c r="J130" s="1860"/>
      <c r="K130" s="1860"/>
      <c r="L130" s="1860"/>
      <c r="M130" s="1860"/>
      <c r="N130" s="1860"/>
      <c r="O130" s="1861"/>
      <c r="P130" s="1857" t="s">
        <v>207</v>
      </c>
      <c r="Q130" s="1858" t="s">
        <v>463</v>
      </c>
      <c r="R130" s="1858"/>
      <c r="S130" s="1858"/>
      <c r="T130" s="1858"/>
      <c r="U130" s="1859" t="s">
        <v>488</v>
      </c>
      <c r="V130" s="1860"/>
      <c r="W130" s="1860"/>
      <c r="X130" s="1860"/>
      <c r="Y130" s="1860"/>
      <c r="Z130" s="1860"/>
      <c r="AA130" s="1860"/>
      <c r="AB130" s="1860"/>
      <c r="AC130" s="1860"/>
      <c r="AD130" s="1861"/>
    </row>
    <row r="131" spans="1:30">
      <c r="A131" s="1857"/>
      <c r="B131" s="1858"/>
      <c r="C131" s="1858"/>
      <c r="D131" s="1858"/>
      <c r="E131" s="1858"/>
      <c r="F131" s="1862"/>
      <c r="G131" s="1863"/>
      <c r="H131" s="1863"/>
      <c r="I131" s="1863"/>
      <c r="J131" s="1863"/>
      <c r="K131" s="1863"/>
      <c r="L131" s="1863"/>
      <c r="M131" s="1863"/>
      <c r="N131" s="1863"/>
      <c r="O131" s="1864"/>
      <c r="P131" s="1857"/>
      <c r="Q131" s="1858"/>
      <c r="R131" s="1858"/>
      <c r="S131" s="1858"/>
      <c r="T131" s="1858"/>
      <c r="U131" s="1862"/>
      <c r="V131" s="1863"/>
      <c r="W131" s="1863"/>
      <c r="X131" s="1863"/>
      <c r="Y131" s="1863"/>
      <c r="Z131" s="1863"/>
      <c r="AA131" s="1863"/>
      <c r="AB131" s="1863"/>
      <c r="AC131" s="1863"/>
      <c r="AD131" s="1864"/>
    </row>
    <row r="132" spans="1:30" ht="17">
      <c r="A132" s="1857"/>
      <c r="B132" s="1865" t="s">
        <v>469</v>
      </c>
      <c r="C132" s="173" t="s">
        <v>467</v>
      </c>
      <c r="D132" s="287" t="s">
        <v>470</v>
      </c>
      <c r="E132" s="290" t="s">
        <v>471</v>
      </c>
      <c r="F132" s="290" t="s">
        <v>475</v>
      </c>
      <c r="G132" s="288" t="s">
        <v>476</v>
      </c>
      <c r="H132" s="288" t="s">
        <v>477</v>
      </c>
      <c r="I132" s="288" t="s">
        <v>478</v>
      </c>
      <c r="J132" s="181" t="s">
        <v>480</v>
      </c>
      <c r="K132" s="181" t="s">
        <v>481</v>
      </c>
      <c r="L132" s="212" t="s">
        <v>479</v>
      </c>
      <c r="M132" s="212" t="s">
        <v>484</v>
      </c>
      <c r="N132" s="212" t="s">
        <v>485</v>
      </c>
      <c r="O132" s="212" t="s">
        <v>486</v>
      </c>
      <c r="P132" s="1857"/>
      <c r="Q132" s="1865" t="s">
        <v>469</v>
      </c>
      <c r="R132" s="173" t="s">
        <v>467</v>
      </c>
      <c r="S132" s="287" t="s">
        <v>470</v>
      </c>
      <c r="T132" s="290" t="s">
        <v>471</v>
      </c>
      <c r="U132" s="290" t="s">
        <v>475</v>
      </c>
      <c r="V132" s="288" t="s">
        <v>476</v>
      </c>
      <c r="W132" s="288" t="s">
        <v>477</v>
      </c>
      <c r="X132" s="288" t="s">
        <v>478</v>
      </c>
      <c r="Y132" s="181" t="s">
        <v>480</v>
      </c>
      <c r="Z132" s="181" t="s">
        <v>481</v>
      </c>
      <c r="AA132" s="212" t="s">
        <v>479</v>
      </c>
      <c r="AB132" s="212" t="s">
        <v>484</v>
      </c>
      <c r="AC132" s="212" t="s">
        <v>485</v>
      </c>
      <c r="AD132" s="212" t="s">
        <v>486</v>
      </c>
    </row>
    <row r="133" spans="1:30" ht="16">
      <c r="A133" s="1857"/>
      <c r="B133" s="1865"/>
      <c r="C133" s="174" t="s">
        <v>45</v>
      </c>
      <c r="D133" s="289" t="s">
        <v>351</v>
      </c>
      <c r="E133" s="291" t="s">
        <v>24</v>
      </c>
      <c r="F133" s="267" t="s">
        <v>474</v>
      </c>
      <c r="G133" s="267" t="s">
        <v>474</v>
      </c>
      <c r="H133" s="267" t="s">
        <v>24</v>
      </c>
      <c r="I133" s="267" t="s">
        <v>31</v>
      </c>
      <c r="J133" s="267" t="s">
        <v>31</v>
      </c>
      <c r="K133" s="267" t="s">
        <v>482</v>
      </c>
      <c r="L133" s="267" t="s">
        <v>31</v>
      </c>
      <c r="M133" s="267" t="s">
        <v>443</v>
      </c>
      <c r="N133" s="267" t="s">
        <v>443</v>
      </c>
      <c r="O133" s="267" t="s">
        <v>24</v>
      </c>
      <c r="P133" s="1857"/>
      <c r="Q133" s="1865"/>
      <c r="R133" s="174" t="s">
        <v>45</v>
      </c>
      <c r="S133" s="289" t="s">
        <v>351</v>
      </c>
      <c r="T133" s="291" t="s">
        <v>24</v>
      </c>
      <c r="U133" s="267" t="s">
        <v>474</v>
      </c>
      <c r="V133" s="267" t="s">
        <v>474</v>
      </c>
      <c r="W133" s="267" t="s">
        <v>24</v>
      </c>
      <c r="X133" s="267" t="s">
        <v>31</v>
      </c>
      <c r="Y133" s="267" t="s">
        <v>31</v>
      </c>
      <c r="Z133" s="267" t="s">
        <v>482</v>
      </c>
      <c r="AA133" s="267" t="s">
        <v>31</v>
      </c>
      <c r="AB133" s="267" t="s">
        <v>443</v>
      </c>
      <c r="AC133" s="267" t="s">
        <v>443</v>
      </c>
      <c r="AD133" s="267" t="s">
        <v>24</v>
      </c>
    </row>
    <row r="134" spans="1:30">
      <c r="A134" s="1857"/>
      <c r="B134" s="282" t="s">
        <v>472</v>
      </c>
      <c r="C134" s="277">
        <f>$H$34</f>
        <v>0.04</v>
      </c>
      <c r="D134" s="277">
        <f>$C$50+(C134/$N$40)*($B$50-$C$50)</f>
        <v>15.228344246959775</v>
      </c>
      <c r="E134" s="277">
        <f>(D134-$C$50)/($B$50-$C$50)</f>
        <v>2.619270346117868E-2</v>
      </c>
      <c r="F134" s="269">
        <f t="shared" ref="F134:F141" si="66">2*(1/10^10)</f>
        <v>2.0000000000000001E-10</v>
      </c>
      <c r="G134" s="269" t="s">
        <v>24</v>
      </c>
      <c r="H134" s="269" t="s">
        <v>24</v>
      </c>
      <c r="I134" s="269" t="s">
        <v>24</v>
      </c>
      <c r="J134" s="269" t="s">
        <v>24</v>
      </c>
      <c r="K134" s="87">
        <v>0</v>
      </c>
      <c r="L134" s="277">
        <v>0</v>
      </c>
      <c r="M134" s="277">
        <f>610.5*EXP((17.269*D134)/(237.3+D134))</f>
        <v>1729.6243407273373</v>
      </c>
      <c r="N134" s="277">
        <f>$C$14+L134/F134*K134</f>
        <v>1180</v>
      </c>
      <c r="O134" s="269">
        <v>0</v>
      </c>
      <c r="P134" s="1857"/>
      <c r="Q134" s="282" t="s">
        <v>472</v>
      </c>
      <c r="R134" s="277">
        <f>$W$34</f>
        <v>0.04</v>
      </c>
      <c r="S134" s="277">
        <f>$R$50+(R134/$AC$40)*($Q$50-$R$50)</f>
        <v>15.252050240118212</v>
      </c>
      <c r="T134" s="277">
        <f>(S134-$R$50)/($Q$50-$R$50)</f>
        <v>3.1030661248614783E-2</v>
      </c>
      <c r="U134" s="269">
        <f t="shared" ref="U134:U141" si="67">2*(1/10^10)</f>
        <v>2.0000000000000001E-10</v>
      </c>
      <c r="V134" s="269" t="s">
        <v>24</v>
      </c>
      <c r="W134" s="269" t="s">
        <v>24</v>
      </c>
      <c r="X134" s="269" t="s">
        <v>24</v>
      </c>
      <c r="Y134" s="269" t="s">
        <v>24</v>
      </c>
      <c r="Z134" s="87">
        <v>0</v>
      </c>
      <c r="AA134" s="277">
        <v>0</v>
      </c>
      <c r="AB134" s="277">
        <f>610.5*EXP((17.269*S134)/(237.3+S134))</f>
        <v>1732.2609431434207</v>
      </c>
      <c r="AC134" s="277">
        <f>$C$14+AA134/U134*Z134</f>
        <v>1180</v>
      </c>
      <c r="AD134" s="269">
        <v>0</v>
      </c>
    </row>
    <row r="135" spans="1:30">
      <c r="A135" s="1857"/>
      <c r="B135" s="282">
        <v>1</v>
      </c>
      <c r="C135" s="277">
        <f>$H$35</f>
        <v>0.19</v>
      </c>
      <c r="D135" s="277">
        <f t="shared" ref="D135:D140" si="68">$C$50+(C135/$N$40)*($B$50-$C$50)</f>
        <v>15.709635173058933</v>
      </c>
      <c r="E135" s="277">
        <f t="shared" ref="E135:E140" si="69">(D135-$C$50)/($B$50-$C$50)</f>
        <v>0.12441534144059863</v>
      </c>
      <c r="F135" s="269">
        <f t="shared" si="66"/>
        <v>2.0000000000000001E-10</v>
      </c>
      <c r="G135" s="269">
        <f>30*(10^(-12))</f>
        <v>3E-11</v>
      </c>
      <c r="H135" s="277">
        <f>F135/G135</f>
        <v>6.666666666666667</v>
      </c>
      <c r="I135" s="277">
        <f>H135*$E$35</f>
        <v>0.8</v>
      </c>
      <c r="J135" s="1588">
        <f>SUM(I135:I140)</f>
        <v>3.9609373235460201</v>
      </c>
      <c r="K135" s="154">
        <f t="shared" ref="K135:K141" si="70">F135*(($F$14-$C$14)/$J$65)</f>
        <v>2.9992900744423942E-8</v>
      </c>
      <c r="L135" s="277">
        <f>I135</f>
        <v>0.8</v>
      </c>
      <c r="M135" s="277">
        <f t="shared" ref="M135:M141" si="71">610.5*EXP((17.269*D135)/(237.3+D135))</f>
        <v>1783.8490964056016</v>
      </c>
      <c r="N135" s="277">
        <f t="shared" ref="N135:N141" si="72">$C$14+L135/F135*K135</f>
        <v>1299.9716029776957</v>
      </c>
      <c r="O135" s="277">
        <f>L135</f>
        <v>0.8</v>
      </c>
      <c r="P135" s="1857"/>
      <c r="Q135" s="282">
        <v>1</v>
      </c>
      <c r="R135" s="277">
        <f>$W$35</f>
        <v>0.19</v>
      </c>
      <c r="S135" s="277">
        <f t="shared" ref="S135:S140" si="73">$R$50+(R135/$AC$40)*($Q$50-$R$50)</f>
        <v>15.822238640561507</v>
      </c>
      <c r="T135" s="277">
        <f t="shared" ref="T135:T140" si="74">(S135-$R$50)/($Q$50-$R$50)</f>
        <v>0.14739564093091975</v>
      </c>
      <c r="U135" s="269">
        <f t="shared" si="67"/>
        <v>2.0000000000000001E-10</v>
      </c>
      <c r="V135" s="269">
        <f>30*(10^(-12))</f>
        <v>3E-11</v>
      </c>
      <c r="W135" s="277">
        <f>U135/V135</f>
        <v>6.666666666666667</v>
      </c>
      <c r="X135" s="277">
        <f>W135*$T$35</f>
        <v>0.8</v>
      </c>
      <c r="Y135" s="1588">
        <f>SUM(X135:X140)</f>
        <v>3.1139582156973464</v>
      </c>
      <c r="Z135" s="154">
        <f t="shared" ref="Z135:Z141" si="75">U135*(($F$14-$C$14)/$J$65)</f>
        <v>2.9992900744423942E-8</v>
      </c>
      <c r="AA135" s="277">
        <f>X135</f>
        <v>0.8</v>
      </c>
      <c r="AB135" s="277">
        <f t="shared" ref="AB135:AB141" si="76">610.5*EXP((17.269*S135)/(237.3+S135))</f>
        <v>1796.748599535018</v>
      </c>
      <c r="AC135" s="277">
        <f t="shared" ref="AC135:AC141" si="77">$C$14+AA135/U135*Z135</f>
        <v>1299.9716029776957</v>
      </c>
      <c r="AD135" s="277">
        <f>AA135</f>
        <v>0.8</v>
      </c>
    </row>
    <row r="136" spans="1:30">
      <c r="A136" s="1857"/>
      <c r="B136" s="282">
        <v>2</v>
      </c>
      <c r="C136" s="277">
        <f>$H$36</f>
        <v>0.36</v>
      </c>
      <c r="D136" s="277">
        <f t="shared" si="68"/>
        <v>16.255098222637979</v>
      </c>
      <c r="E136" s="277">
        <f t="shared" si="69"/>
        <v>0.2357343311506081</v>
      </c>
      <c r="F136" s="269">
        <f t="shared" si="66"/>
        <v>2.0000000000000001E-10</v>
      </c>
      <c r="G136" s="269" t="s">
        <v>24</v>
      </c>
      <c r="H136" s="277" t="s">
        <v>24</v>
      </c>
      <c r="I136" s="277">
        <v>0.01</v>
      </c>
      <c r="J136" s="1588"/>
      <c r="K136" s="154">
        <f t="shared" si="70"/>
        <v>2.9992900744423942E-8</v>
      </c>
      <c r="L136" s="277">
        <f>I136+L135</f>
        <v>0.81</v>
      </c>
      <c r="M136" s="277">
        <f t="shared" si="71"/>
        <v>1847.1000520960074</v>
      </c>
      <c r="N136" s="277">
        <f t="shared" si="72"/>
        <v>1301.4712480149169</v>
      </c>
      <c r="O136" s="277">
        <f t="shared" ref="O136:O140" si="78">L136</f>
        <v>0.81</v>
      </c>
      <c r="P136" s="1857"/>
      <c r="Q136" s="282">
        <v>2</v>
      </c>
      <c r="R136" s="277">
        <f>$W$36</f>
        <v>0.36</v>
      </c>
      <c r="S136" s="277">
        <f t="shared" si="73"/>
        <v>16.468452161063908</v>
      </c>
      <c r="T136" s="277">
        <f t="shared" si="74"/>
        <v>0.27927595123753229</v>
      </c>
      <c r="U136" s="269">
        <f t="shared" si="67"/>
        <v>2.0000000000000001E-10</v>
      </c>
      <c r="V136" s="269" t="s">
        <v>24</v>
      </c>
      <c r="W136" s="277" t="s">
        <v>24</v>
      </c>
      <c r="X136" s="277">
        <v>0.01</v>
      </c>
      <c r="Y136" s="1588"/>
      <c r="Z136" s="154">
        <f t="shared" si="75"/>
        <v>2.9992900744423942E-8</v>
      </c>
      <c r="AA136" s="277">
        <f>X136+AA135</f>
        <v>0.81</v>
      </c>
      <c r="AB136" s="277">
        <f t="shared" si="76"/>
        <v>1872.3697454994342</v>
      </c>
      <c r="AC136" s="277">
        <f t="shared" si="77"/>
        <v>1301.4712480149169</v>
      </c>
      <c r="AD136" s="277">
        <f t="shared" ref="AD136:AD140" si="79">AA136</f>
        <v>0.81</v>
      </c>
    </row>
    <row r="137" spans="1:30">
      <c r="A137" s="1857"/>
      <c r="B137" s="282">
        <v>3</v>
      </c>
      <c r="C137" s="277">
        <f>$H$37</f>
        <v>0.47</v>
      </c>
      <c r="D137" s="277">
        <f t="shared" si="68"/>
        <v>16.608044901777362</v>
      </c>
      <c r="E137" s="277">
        <f t="shared" si="69"/>
        <v>0.3077642656688494</v>
      </c>
      <c r="F137" s="269">
        <f t="shared" si="66"/>
        <v>2.0000000000000001E-10</v>
      </c>
      <c r="G137" s="269">
        <f>30*(10^(-12))</f>
        <v>3E-11</v>
      </c>
      <c r="H137" s="277">
        <f>F137/G137</f>
        <v>6.666666666666667</v>
      </c>
      <c r="I137" s="277">
        <f>H137*$E$37</f>
        <v>0.26666666666666666</v>
      </c>
      <c r="J137" s="1588"/>
      <c r="K137" s="154">
        <f t="shared" si="70"/>
        <v>2.9992900744423942E-8</v>
      </c>
      <c r="L137" s="277">
        <f t="shared" ref="L137:L140" si="80">I137+L136</f>
        <v>1.0766666666666667</v>
      </c>
      <c r="M137" s="277">
        <f t="shared" si="71"/>
        <v>1889.0665951929575</v>
      </c>
      <c r="N137" s="277">
        <f t="shared" si="72"/>
        <v>1341.4617823408155</v>
      </c>
      <c r="O137" s="277">
        <f t="shared" si="78"/>
        <v>1.0766666666666667</v>
      </c>
      <c r="P137" s="1857"/>
      <c r="Q137" s="282">
        <v>3</v>
      </c>
      <c r="R137" s="277">
        <f>$W$37</f>
        <v>0.47</v>
      </c>
      <c r="S137" s="277">
        <f t="shared" si="73"/>
        <v>16.88659032138899</v>
      </c>
      <c r="T137" s="277">
        <f t="shared" si="74"/>
        <v>0.36461026967122251</v>
      </c>
      <c r="U137" s="269">
        <f t="shared" si="67"/>
        <v>2.0000000000000001E-10</v>
      </c>
      <c r="V137" s="269">
        <f>30*(10^(-12))</f>
        <v>3E-11</v>
      </c>
      <c r="W137" s="277">
        <f>U137/V137</f>
        <v>6.666666666666667</v>
      </c>
      <c r="X137" s="277">
        <f>W137*$T$37</f>
        <v>0.26666666666666666</v>
      </c>
      <c r="Y137" s="1588"/>
      <c r="Z137" s="154">
        <f t="shared" si="75"/>
        <v>2.9992900744423942E-8</v>
      </c>
      <c r="AA137" s="277">
        <f t="shared" ref="AA137:AA140" si="81">X137+AA136</f>
        <v>1.0766666666666667</v>
      </c>
      <c r="AB137" s="277">
        <f t="shared" si="76"/>
        <v>1922.7739961097961</v>
      </c>
      <c r="AC137" s="277">
        <f t="shared" si="77"/>
        <v>1341.4617823408155</v>
      </c>
      <c r="AD137" s="277">
        <f t="shared" si="79"/>
        <v>1.0766666666666667</v>
      </c>
    </row>
    <row r="138" spans="1:30">
      <c r="A138" s="1857"/>
      <c r="B138" s="282">
        <v>4</v>
      </c>
      <c r="C138" s="277">
        <f>$H$38</f>
        <v>0.64</v>
      </c>
      <c r="D138" s="277">
        <f t="shared" si="68"/>
        <v>17.153507951356406</v>
      </c>
      <c r="E138" s="277">
        <f t="shared" si="69"/>
        <v>0.41908325537885849</v>
      </c>
      <c r="F138" s="269">
        <f t="shared" si="66"/>
        <v>2.0000000000000001E-10</v>
      </c>
      <c r="G138" s="269" t="s">
        <v>24</v>
      </c>
      <c r="H138" s="277" t="s">
        <v>24</v>
      </c>
      <c r="I138" s="277">
        <v>0.01</v>
      </c>
      <c r="J138" s="1588"/>
      <c r="K138" s="154">
        <f t="shared" si="70"/>
        <v>2.9992900744423942E-8</v>
      </c>
      <c r="L138" s="277">
        <f t="shared" si="80"/>
        <v>1.0866666666666667</v>
      </c>
      <c r="M138" s="277">
        <f t="shared" si="71"/>
        <v>1955.5674229554422</v>
      </c>
      <c r="N138" s="277">
        <f t="shared" si="72"/>
        <v>1342.9614273780367</v>
      </c>
      <c r="O138" s="277">
        <f t="shared" si="78"/>
        <v>1.0866666666666667</v>
      </c>
      <c r="P138" s="1857"/>
      <c r="Q138" s="282">
        <v>4</v>
      </c>
      <c r="R138" s="277">
        <f>$W$38</f>
        <v>0.64</v>
      </c>
      <c r="S138" s="277">
        <f t="shared" si="73"/>
        <v>17.532803841891393</v>
      </c>
      <c r="T138" s="277">
        <f t="shared" si="74"/>
        <v>0.49649057997783541</v>
      </c>
      <c r="U138" s="269">
        <f t="shared" si="67"/>
        <v>2.0000000000000001E-10</v>
      </c>
      <c r="V138" s="269" t="s">
        <v>24</v>
      </c>
      <c r="W138" s="277" t="s">
        <v>24</v>
      </c>
      <c r="X138" s="277">
        <v>0.01</v>
      </c>
      <c r="Y138" s="1588"/>
      <c r="Z138" s="154">
        <f t="shared" si="75"/>
        <v>2.9992900744423942E-8</v>
      </c>
      <c r="AA138" s="277">
        <f t="shared" si="81"/>
        <v>1.0866666666666667</v>
      </c>
      <c r="AB138" s="277">
        <f t="shared" si="76"/>
        <v>2003.0099305311035</v>
      </c>
      <c r="AC138" s="277">
        <f t="shared" si="77"/>
        <v>1342.9614273780367</v>
      </c>
      <c r="AD138" s="277">
        <f t="shared" si="79"/>
        <v>1.0866666666666667</v>
      </c>
    </row>
    <row r="139" spans="1:30">
      <c r="A139" s="1857"/>
      <c r="B139" s="282">
        <v>5</v>
      </c>
      <c r="C139" s="277">
        <f>$H$39</f>
        <v>1.3542857142857143</v>
      </c>
      <c r="D139" s="277">
        <f t="shared" si="68"/>
        <v>19.445369504209541</v>
      </c>
      <c r="E139" s="277">
        <f t="shared" si="69"/>
        <v>0.88681010289990636</v>
      </c>
      <c r="F139" s="269">
        <f t="shared" si="66"/>
        <v>2.0000000000000001E-10</v>
      </c>
      <c r="G139" s="269">
        <f>35.42*(10^(-12))</f>
        <v>3.5419999999999999E-11</v>
      </c>
      <c r="H139" s="277">
        <f>F139/G139</f>
        <v>5.6465273856578211</v>
      </c>
      <c r="I139" s="277">
        <f>H139*$E$39</f>
        <v>2.5409373235460198</v>
      </c>
      <c r="J139" s="1588"/>
      <c r="K139" s="154">
        <f t="shared" si="70"/>
        <v>2.9992900744423942E-8</v>
      </c>
      <c r="L139" s="277">
        <f t="shared" si="80"/>
        <v>3.6276039902126866</v>
      </c>
      <c r="M139" s="277">
        <f t="shared" si="71"/>
        <v>2257.9149006879866</v>
      </c>
      <c r="N139" s="277">
        <f t="shared" si="72"/>
        <v>1724.0118320926267</v>
      </c>
      <c r="O139" s="277">
        <f t="shared" si="78"/>
        <v>3.6276039902126866</v>
      </c>
      <c r="P139" s="1857"/>
      <c r="Q139" s="282">
        <v>5</v>
      </c>
      <c r="R139" s="277">
        <f>$W$39</f>
        <v>1.1161904761904762</v>
      </c>
      <c r="S139" s="277">
        <f t="shared" si="73"/>
        <v>19.342925748060583</v>
      </c>
      <c r="T139" s="277">
        <f t="shared" si="74"/>
        <v>0.86590321388991498</v>
      </c>
      <c r="U139" s="269">
        <f t="shared" si="67"/>
        <v>2.0000000000000001E-10</v>
      </c>
      <c r="V139" s="269">
        <f>35.42*(10^(-12))</f>
        <v>3.5419999999999999E-11</v>
      </c>
      <c r="W139" s="277">
        <f>U139/V139</f>
        <v>5.6465273856578211</v>
      </c>
      <c r="X139" s="277">
        <f>W139*$T$39</f>
        <v>1.6939582156973463</v>
      </c>
      <c r="Y139" s="1588"/>
      <c r="Z139" s="154">
        <f t="shared" si="75"/>
        <v>2.9992900744423942E-8</v>
      </c>
      <c r="AA139" s="277">
        <f t="shared" si="81"/>
        <v>2.780624882364013</v>
      </c>
      <c r="AB139" s="277">
        <f t="shared" si="76"/>
        <v>2243.5750929516298</v>
      </c>
      <c r="AC139" s="277">
        <f t="shared" si="77"/>
        <v>1596.9950305210966</v>
      </c>
      <c r="AD139" s="277">
        <f t="shared" si="79"/>
        <v>2.780624882364013</v>
      </c>
    </row>
    <row r="140" spans="1:30">
      <c r="A140" s="1857"/>
      <c r="B140" s="151">
        <v>6</v>
      </c>
      <c r="C140" s="263">
        <f>$H$40</f>
        <v>1.3971428571428572</v>
      </c>
      <c r="D140" s="277">
        <f t="shared" si="68"/>
        <v>19.582881197380729</v>
      </c>
      <c r="E140" s="277">
        <f t="shared" si="69"/>
        <v>0.91487371375116922</v>
      </c>
      <c r="F140" s="270">
        <f t="shared" si="66"/>
        <v>2.0000000000000001E-10</v>
      </c>
      <c r="G140" s="270">
        <f>18*(10^(-12))</f>
        <v>1.7999999999999999E-11</v>
      </c>
      <c r="H140" s="263">
        <f>F140/G140</f>
        <v>11.111111111111112</v>
      </c>
      <c r="I140" s="263">
        <f>H140*$E$40</f>
        <v>0.33333333333333337</v>
      </c>
      <c r="J140" s="1492"/>
      <c r="K140" s="154">
        <f t="shared" si="70"/>
        <v>2.9992900744423942E-8</v>
      </c>
      <c r="L140" s="277">
        <f t="shared" si="80"/>
        <v>3.9609373235460201</v>
      </c>
      <c r="M140" s="277">
        <f t="shared" si="71"/>
        <v>2277.2894225842274</v>
      </c>
      <c r="N140" s="277">
        <f t="shared" si="72"/>
        <v>1774</v>
      </c>
      <c r="O140" s="277">
        <f t="shared" si="78"/>
        <v>3.9609373235460201</v>
      </c>
      <c r="P140" s="1857"/>
      <c r="Q140" s="151">
        <v>6</v>
      </c>
      <c r="R140" s="277">
        <f>$W$40</f>
        <v>1.1590476190476191</v>
      </c>
      <c r="S140" s="277">
        <f t="shared" si="73"/>
        <v>19.505836719615811</v>
      </c>
      <c r="T140" s="277">
        <f t="shared" si="74"/>
        <v>0.89915035094200224</v>
      </c>
      <c r="U140" s="270">
        <f t="shared" si="67"/>
        <v>2.0000000000000001E-10</v>
      </c>
      <c r="V140" s="270">
        <f>18*(10^(-12))</f>
        <v>1.7999999999999999E-11</v>
      </c>
      <c r="W140" s="263">
        <f>U140/V140</f>
        <v>11.111111111111112</v>
      </c>
      <c r="X140" s="263">
        <f>W140*$T$40</f>
        <v>0.33333333333333337</v>
      </c>
      <c r="Y140" s="1492"/>
      <c r="Z140" s="154">
        <f t="shared" si="75"/>
        <v>2.9992900744423942E-8</v>
      </c>
      <c r="AA140" s="277">
        <f t="shared" si="81"/>
        <v>3.1139582156973464</v>
      </c>
      <c r="AB140" s="277">
        <f t="shared" si="76"/>
        <v>2266.4165128790078</v>
      </c>
      <c r="AC140" s="277">
        <f t="shared" si="77"/>
        <v>1646.9831984284699</v>
      </c>
      <c r="AD140" s="277">
        <f t="shared" si="79"/>
        <v>3.1139582156973464</v>
      </c>
    </row>
    <row r="141" spans="1:30">
      <c r="A141" s="1857"/>
      <c r="B141" s="269" t="s">
        <v>483</v>
      </c>
      <c r="C141" s="277">
        <f>$C$70+$G$41</f>
        <v>1.5271428571428571</v>
      </c>
      <c r="D141" s="277">
        <v>20</v>
      </c>
      <c r="E141" s="263" t="s">
        <v>24</v>
      </c>
      <c r="F141" s="269">
        <f t="shared" si="66"/>
        <v>2.0000000000000001E-10</v>
      </c>
      <c r="G141" s="269" t="s">
        <v>24</v>
      </c>
      <c r="H141" s="269" t="s">
        <v>24</v>
      </c>
      <c r="I141" s="269" t="s">
        <v>24</v>
      </c>
      <c r="J141" s="269" t="s">
        <v>24</v>
      </c>
      <c r="K141" s="154">
        <f t="shared" si="70"/>
        <v>2.9992900744423942E-8</v>
      </c>
      <c r="L141" s="277">
        <f>L140</f>
        <v>3.9609373235460201</v>
      </c>
      <c r="M141" s="277">
        <f t="shared" si="71"/>
        <v>2336.9511438023419</v>
      </c>
      <c r="N141" s="277">
        <f t="shared" si="72"/>
        <v>1774</v>
      </c>
      <c r="O141" s="277">
        <f>O140+0.1</f>
        <v>4.0609373235460202</v>
      </c>
      <c r="P141" s="1857"/>
      <c r="Q141" s="269" t="s">
        <v>483</v>
      </c>
      <c r="R141" s="277">
        <f>$R$70+$V$41</f>
        <v>1.289047619047619</v>
      </c>
      <c r="S141" s="277">
        <v>20</v>
      </c>
      <c r="T141" s="263" t="s">
        <v>24</v>
      </c>
      <c r="U141" s="269">
        <f t="shared" si="67"/>
        <v>2.0000000000000001E-10</v>
      </c>
      <c r="V141" s="269" t="s">
        <v>24</v>
      </c>
      <c r="W141" s="269" t="s">
        <v>24</v>
      </c>
      <c r="X141" s="269" t="s">
        <v>24</v>
      </c>
      <c r="Y141" s="269" t="s">
        <v>24</v>
      </c>
      <c r="Z141" s="154">
        <f t="shared" si="75"/>
        <v>2.9992900744423942E-8</v>
      </c>
      <c r="AA141" s="277">
        <f>AA140</f>
        <v>3.1139582156973464</v>
      </c>
      <c r="AB141" s="277">
        <f t="shared" si="76"/>
        <v>2336.9511438023419</v>
      </c>
      <c r="AC141" s="277">
        <f t="shared" si="77"/>
        <v>1646.9831984284699</v>
      </c>
      <c r="AD141" s="277">
        <f>AD140+0.1</f>
        <v>3.2139582156973465</v>
      </c>
    </row>
    <row r="142" spans="1:30">
      <c r="A142" s="1857"/>
      <c r="B142" s="1866" t="s">
        <v>473</v>
      </c>
      <c r="C142" s="1866"/>
      <c r="D142" s="1866"/>
      <c r="E142" s="1867"/>
      <c r="F142" s="1868" t="s">
        <v>473</v>
      </c>
      <c r="G142" s="1869"/>
      <c r="H142" s="1869"/>
      <c r="I142" s="1869"/>
      <c r="J142" s="1869"/>
      <c r="K142" s="1869"/>
      <c r="L142" s="1869"/>
      <c r="M142" s="1869"/>
      <c r="N142" s="1869"/>
      <c r="O142" s="1870"/>
      <c r="P142" s="1857"/>
      <c r="Q142" s="1866" t="s">
        <v>473</v>
      </c>
      <c r="R142" s="1866"/>
      <c r="S142" s="1866"/>
      <c r="T142" s="1867"/>
      <c r="U142" s="1868" t="s">
        <v>473</v>
      </c>
      <c r="V142" s="1869"/>
      <c r="W142" s="1869"/>
      <c r="X142" s="1869"/>
      <c r="Y142" s="1869"/>
      <c r="Z142" s="1869"/>
      <c r="AA142" s="1869"/>
      <c r="AB142" s="1869"/>
      <c r="AC142" s="1869"/>
      <c r="AD142" s="1870"/>
    </row>
    <row r="143" spans="1:30">
      <c r="A143" s="1857"/>
      <c r="B143" s="1871" t="str">
        <f>IF(E140&gt;$J$14,"Non ha inizio la crescita di muffe","Ha inizio la crescita di muffe")</f>
        <v>Non ha inizio la crescita di muffe</v>
      </c>
      <c r="C143" s="1871"/>
      <c r="D143" s="1871"/>
      <c r="E143" s="1872"/>
      <c r="F143" s="1873" t="s">
        <v>487</v>
      </c>
      <c r="G143" s="1871"/>
      <c r="H143" s="1871"/>
      <c r="I143" s="1871"/>
      <c r="J143" s="1871"/>
      <c r="K143" s="1871"/>
      <c r="L143" s="1871"/>
      <c r="M143" s="1871"/>
      <c r="N143" s="1871"/>
      <c r="O143" s="1872"/>
      <c r="P143" s="1857"/>
      <c r="Q143" s="1871" t="str">
        <f>IF(T140&gt;$J$14,"Non ha inizio la crescita di muffe","Ha inizio la crescita di muffe")</f>
        <v>Non ha inizio la crescita di muffe</v>
      </c>
      <c r="R143" s="1871"/>
      <c r="S143" s="1871"/>
      <c r="T143" s="1872"/>
      <c r="U143" s="1873" t="s">
        <v>487</v>
      </c>
      <c r="V143" s="1871"/>
      <c r="W143" s="1871"/>
      <c r="X143" s="1871"/>
      <c r="Y143" s="1871"/>
      <c r="Z143" s="1871"/>
      <c r="AA143" s="1871"/>
      <c r="AB143" s="1871"/>
      <c r="AC143" s="1871"/>
      <c r="AD143" s="1872"/>
    </row>
    <row r="162" spans="1:30" ht="14.25" customHeight="1"/>
    <row r="164" spans="1:30">
      <c r="A164" s="278" t="s">
        <v>0</v>
      </c>
      <c r="B164" s="1620" t="s">
        <v>566</v>
      </c>
      <c r="C164" s="1621"/>
      <c r="D164" s="1621"/>
      <c r="E164" s="1622"/>
      <c r="F164" s="1508"/>
      <c r="G164" s="1402" t="s">
        <v>567</v>
      </c>
      <c r="H164" s="1403"/>
      <c r="I164" s="1403"/>
      <c r="J164" s="1403"/>
      <c r="K164" s="1404"/>
      <c r="L164" s="1352" t="s">
        <v>5</v>
      </c>
      <c r="M164" s="1353"/>
      <c r="N164" s="1352" t="s">
        <v>6</v>
      </c>
      <c r="O164" s="1353"/>
      <c r="P164" s="278" t="s">
        <v>0</v>
      </c>
      <c r="Q164" s="1620" t="s">
        <v>566</v>
      </c>
      <c r="R164" s="1621"/>
      <c r="S164" s="1621"/>
      <c r="T164" s="1622"/>
      <c r="U164" s="1508"/>
      <c r="V164" s="1402" t="s">
        <v>567</v>
      </c>
      <c r="W164" s="1403"/>
      <c r="X164" s="1403"/>
      <c r="Y164" s="1403"/>
      <c r="Z164" s="1404"/>
      <c r="AA164" s="1352" t="s">
        <v>5</v>
      </c>
      <c r="AB164" s="1353"/>
      <c r="AC164" s="1352" t="s">
        <v>6</v>
      </c>
      <c r="AD164" s="1353"/>
    </row>
    <row r="165" spans="1:30" ht="23.5" customHeight="1">
      <c r="A165" s="47">
        <v>14</v>
      </c>
      <c r="B165" s="1511" t="s">
        <v>434</v>
      </c>
      <c r="C165" s="1512"/>
      <c r="D165" s="1512"/>
      <c r="E165" s="1513"/>
      <c r="F165" s="1509"/>
      <c r="G165" s="1414" t="s">
        <v>568</v>
      </c>
      <c r="H165" s="1415"/>
      <c r="I165" s="1415"/>
      <c r="J165" s="1415"/>
      <c r="K165" s="1416"/>
      <c r="L165" s="1391" t="s">
        <v>569</v>
      </c>
      <c r="M165" s="1392"/>
      <c r="N165" s="1391"/>
      <c r="O165" s="1392"/>
      <c r="P165" s="47">
        <v>14</v>
      </c>
      <c r="Q165" s="1511" t="s">
        <v>434</v>
      </c>
      <c r="R165" s="1512"/>
      <c r="S165" s="1512"/>
      <c r="T165" s="1513"/>
      <c r="U165" s="1509"/>
      <c r="V165" s="1414" t="s">
        <v>568</v>
      </c>
      <c r="W165" s="1415"/>
      <c r="X165" s="1415"/>
      <c r="Y165" s="1415"/>
      <c r="Z165" s="1416"/>
      <c r="AA165" s="1391" t="s">
        <v>569</v>
      </c>
      <c r="AB165" s="1392"/>
      <c r="AC165" s="1391"/>
      <c r="AD165" s="1392"/>
    </row>
    <row r="166" spans="1:30">
      <c r="A166" s="48" t="s">
        <v>69</v>
      </c>
      <c r="B166" s="1514"/>
      <c r="C166" s="1515"/>
      <c r="D166" s="1515"/>
      <c r="E166" s="1516"/>
      <c r="F166" s="1510"/>
      <c r="G166" s="1542" t="s">
        <v>572</v>
      </c>
      <c r="H166" s="1543"/>
      <c r="I166" s="1543"/>
      <c r="J166" s="1543"/>
      <c r="K166" s="1544"/>
      <c r="L166" s="1357" t="s">
        <v>570</v>
      </c>
      <c r="M166" s="1358"/>
      <c r="N166" s="1357"/>
      <c r="O166" s="1358"/>
      <c r="P166" s="48" t="s">
        <v>168</v>
      </c>
      <c r="Q166" s="1514"/>
      <c r="R166" s="1515"/>
      <c r="S166" s="1515"/>
      <c r="T166" s="1516"/>
      <c r="U166" s="1510"/>
      <c r="V166" s="1542" t="s">
        <v>572</v>
      </c>
      <c r="W166" s="1543"/>
      <c r="X166" s="1543"/>
      <c r="Y166" s="1543"/>
      <c r="Z166" s="1544"/>
      <c r="AA166" s="1357" t="s">
        <v>570</v>
      </c>
      <c r="AB166" s="1358"/>
      <c r="AC166" s="1357"/>
      <c r="AD166" s="1358"/>
    </row>
    <row r="167" spans="1:30">
      <c r="P167" s="294"/>
      <c r="Q167" s="138"/>
      <c r="R167" s="138"/>
      <c r="S167" s="138"/>
      <c r="T167" s="138"/>
      <c r="U167" s="138"/>
      <c r="V167" s="138"/>
      <c r="W167" s="86"/>
      <c r="X167" s="86"/>
      <c r="Y167" s="86"/>
      <c r="Z167" s="86"/>
      <c r="AA167" s="86"/>
      <c r="AB167" s="86"/>
      <c r="AC167" s="86"/>
      <c r="AD167" s="86"/>
    </row>
    <row r="168" spans="1:30">
      <c r="P168" s="20"/>
      <c r="Q168" s="86"/>
      <c r="R168" s="86"/>
      <c r="S168" s="86"/>
      <c r="T168" s="86"/>
      <c r="U168" s="86"/>
      <c r="V168" s="86"/>
      <c r="W168" s="86"/>
      <c r="X168" s="86"/>
      <c r="Y168" s="86"/>
      <c r="Z168" s="86"/>
      <c r="AA168" s="86"/>
      <c r="AB168" s="86"/>
      <c r="AC168" s="86"/>
      <c r="AD168" s="86"/>
    </row>
    <row r="169" spans="1:30">
      <c r="A169" s="1857" t="s">
        <v>214</v>
      </c>
      <c r="B169" s="1858" t="s">
        <v>463</v>
      </c>
      <c r="C169" s="1858"/>
      <c r="D169" s="1858"/>
      <c r="E169" s="1858"/>
      <c r="F169" s="1859" t="s">
        <v>488</v>
      </c>
      <c r="G169" s="1860"/>
      <c r="H169" s="1860"/>
      <c r="I169" s="1860"/>
      <c r="J169" s="1860"/>
      <c r="K169" s="1860"/>
      <c r="L169" s="1860"/>
      <c r="M169" s="1860"/>
      <c r="N169" s="1860"/>
      <c r="O169" s="1861"/>
      <c r="P169" s="1857" t="s">
        <v>214</v>
      </c>
      <c r="Q169" s="1858" t="s">
        <v>463</v>
      </c>
      <c r="R169" s="1858"/>
      <c r="S169" s="1858"/>
      <c r="T169" s="1858"/>
      <c r="U169" s="1859" t="s">
        <v>488</v>
      </c>
      <c r="V169" s="1860"/>
      <c r="W169" s="1860"/>
      <c r="X169" s="1860"/>
      <c r="Y169" s="1860"/>
      <c r="Z169" s="1860"/>
      <c r="AA169" s="1860"/>
      <c r="AB169" s="1860"/>
      <c r="AC169" s="1860"/>
      <c r="AD169" s="1861"/>
    </row>
    <row r="170" spans="1:30">
      <c r="A170" s="1857"/>
      <c r="B170" s="1858"/>
      <c r="C170" s="1858"/>
      <c r="D170" s="1858"/>
      <c r="E170" s="1858"/>
      <c r="F170" s="1862"/>
      <c r="G170" s="1863"/>
      <c r="H170" s="1863"/>
      <c r="I170" s="1863"/>
      <c r="J170" s="1863"/>
      <c r="K170" s="1863"/>
      <c r="L170" s="1863"/>
      <c r="M170" s="1863"/>
      <c r="N170" s="1863"/>
      <c r="O170" s="1864"/>
      <c r="P170" s="1857"/>
      <c r="Q170" s="1858"/>
      <c r="R170" s="1858"/>
      <c r="S170" s="1858"/>
      <c r="T170" s="1858"/>
      <c r="U170" s="1862"/>
      <c r="V170" s="1863"/>
      <c r="W170" s="1863"/>
      <c r="X170" s="1863"/>
      <c r="Y170" s="1863"/>
      <c r="Z170" s="1863"/>
      <c r="AA170" s="1863"/>
      <c r="AB170" s="1863"/>
      <c r="AC170" s="1863"/>
      <c r="AD170" s="1864"/>
    </row>
    <row r="171" spans="1:30" ht="17">
      <c r="A171" s="1857"/>
      <c r="B171" s="1865" t="s">
        <v>469</v>
      </c>
      <c r="C171" s="173" t="s">
        <v>467</v>
      </c>
      <c r="D171" s="287" t="s">
        <v>470</v>
      </c>
      <c r="E171" s="290" t="s">
        <v>471</v>
      </c>
      <c r="F171" s="290" t="s">
        <v>475</v>
      </c>
      <c r="G171" s="288" t="s">
        <v>476</v>
      </c>
      <c r="H171" s="288" t="s">
        <v>477</v>
      </c>
      <c r="I171" s="288" t="s">
        <v>478</v>
      </c>
      <c r="J171" s="181" t="s">
        <v>480</v>
      </c>
      <c r="K171" s="181" t="s">
        <v>481</v>
      </c>
      <c r="L171" s="212" t="s">
        <v>479</v>
      </c>
      <c r="M171" s="212" t="s">
        <v>484</v>
      </c>
      <c r="N171" s="212" t="s">
        <v>485</v>
      </c>
      <c r="O171" s="212" t="s">
        <v>486</v>
      </c>
      <c r="P171" s="1857"/>
      <c r="Q171" s="1865" t="s">
        <v>469</v>
      </c>
      <c r="R171" s="173" t="s">
        <v>467</v>
      </c>
      <c r="S171" s="287" t="s">
        <v>470</v>
      </c>
      <c r="T171" s="290" t="s">
        <v>471</v>
      </c>
      <c r="U171" s="290" t="s">
        <v>475</v>
      </c>
      <c r="V171" s="288" t="s">
        <v>476</v>
      </c>
      <c r="W171" s="288" t="s">
        <v>477</v>
      </c>
      <c r="X171" s="288" t="s">
        <v>478</v>
      </c>
      <c r="Y171" s="181" t="s">
        <v>480</v>
      </c>
      <c r="Z171" s="181" t="s">
        <v>481</v>
      </c>
      <c r="AA171" s="212" t="s">
        <v>479</v>
      </c>
      <c r="AB171" s="212" t="s">
        <v>484</v>
      </c>
      <c r="AC171" s="212" t="s">
        <v>485</v>
      </c>
      <c r="AD171" s="212" t="s">
        <v>486</v>
      </c>
    </row>
    <row r="172" spans="1:30" ht="16">
      <c r="A172" s="1857"/>
      <c r="B172" s="1865"/>
      <c r="C172" s="174" t="s">
        <v>45</v>
      </c>
      <c r="D172" s="289" t="s">
        <v>351</v>
      </c>
      <c r="E172" s="291" t="s">
        <v>24</v>
      </c>
      <c r="F172" s="267" t="s">
        <v>474</v>
      </c>
      <c r="G172" s="267" t="s">
        <v>474</v>
      </c>
      <c r="H172" s="267" t="s">
        <v>24</v>
      </c>
      <c r="I172" s="267" t="s">
        <v>31</v>
      </c>
      <c r="J172" s="267" t="s">
        <v>31</v>
      </c>
      <c r="K172" s="267" t="s">
        <v>482</v>
      </c>
      <c r="L172" s="267" t="s">
        <v>31</v>
      </c>
      <c r="M172" s="267" t="s">
        <v>443</v>
      </c>
      <c r="N172" s="267" t="s">
        <v>443</v>
      </c>
      <c r="O172" s="267" t="s">
        <v>24</v>
      </c>
      <c r="P172" s="1857"/>
      <c r="Q172" s="1865"/>
      <c r="R172" s="174" t="s">
        <v>45</v>
      </c>
      <c r="S172" s="289" t="s">
        <v>351</v>
      </c>
      <c r="T172" s="291" t="s">
        <v>24</v>
      </c>
      <c r="U172" s="267" t="s">
        <v>474</v>
      </c>
      <c r="V172" s="267" t="s">
        <v>474</v>
      </c>
      <c r="W172" s="267" t="s">
        <v>24</v>
      </c>
      <c r="X172" s="267" t="s">
        <v>31</v>
      </c>
      <c r="Y172" s="267" t="s">
        <v>31</v>
      </c>
      <c r="Z172" s="267" t="s">
        <v>482</v>
      </c>
      <c r="AA172" s="267" t="s">
        <v>31</v>
      </c>
      <c r="AB172" s="267" t="s">
        <v>443</v>
      </c>
      <c r="AC172" s="267" t="s">
        <v>443</v>
      </c>
      <c r="AD172" s="267" t="s">
        <v>24</v>
      </c>
    </row>
    <row r="173" spans="1:30">
      <c r="A173" s="1857"/>
      <c r="B173" s="282" t="s">
        <v>472</v>
      </c>
      <c r="C173" s="277">
        <f>$H$34</f>
        <v>0.04</v>
      </c>
      <c r="D173" s="277">
        <f t="shared" ref="D173:D179" si="82">$C$51+(C173/$N$40)*($B$51-$C$51)</f>
        <v>15.617867165575303</v>
      </c>
      <c r="E173" s="277">
        <f>(D173-$C$51)/($B$51-$C$51)</f>
        <v>2.6192703461178485E-2</v>
      </c>
      <c r="F173" s="269">
        <f t="shared" ref="F173:F180" si="83">2*(1/10^10)</f>
        <v>2.0000000000000001E-10</v>
      </c>
      <c r="G173" s="269" t="s">
        <v>24</v>
      </c>
      <c r="H173" s="269" t="s">
        <v>24</v>
      </c>
      <c r="I173" s="269" t="s">
        <v>24</v>
      </c>
      <c r="J173" s="269" t="s">
        <v>24</v>
      </c>
      <c r="K173" s="87">
        <v>0</v>
      </c>
      <c r="L173" s="277">
        <v>0</v>
      </c>
      <c r="M173" s="277">
        <f>610.5*EXP((17.269*D173)/(237.3+D173))</f>
        <v>1773.3965460329898</v>
      </c>
      <c r="N173" s="277">
        <f>$C$15+L173/F173*K173</f>
        <v>1259</v>
      </c>
      <c r="O173" s="269">
        <v>0</v>
      </c>
      <c r="P173" s="1857"/>
      <c r="Q173" s="282" t="s">
        <v>472</v>
      </c>
      <c r="R173" s="277">
        <f>$W$34</f>
        <v>0.04</v>
      </c>
      <c r="S173" s="277">
        <f t="shared" ref="S173:S179" si="84">$R$51+(R173/$AC$40)*($Q$51-$R$51)</f>
        <v>15.639637975618767</v>
      </c>
      <c r="T173" s="277">
        <f>(S173-$R$51)/($Q$51-$R$51)</f>
        <v>3.1030661248614817E-2</v>
      </c>
      <c r="U173" s="269">
        <f t="shared" ref="U173:U180" si="85">2*(1/10^10)</f>
        <v>2.0000000000000001E-10</v>
      </c>
      <c r="V173" s="269" t="s">
        <v>24</v>
      </c>
      <c r="W173" s="269" t="s">
        <v>24</v>
      </c>
      <c r="X173" s="269" t="s">
        <v>24</v>
      </c>
      <c r="Y173" s="269" t="s">
        <v>24</v>
      </c>
      <c r="Z173" s="87">
        <v>0</v>
      </c>
      <c r="AA173" s="277">
        <v>0</v>
      </c>
      <c r="AB173" s="277">
        <f>610.5*EXP((17.269*S173)/(237.3+S173))</f>
        <v>1775.8714128644297</v>
      </c>
      <c r="AC173" s="277">
        <f>$C$15+AA173/U173*Z173</f>
        <v>1259</v>
      </c>
      <c r="AD173" s="269">
        <v>0</v>
      </c>
    </row>
    <row r="174" spans="1:30">
      <c r="A174" s="1857"/>
      <c r="B174" s="282">
        <v>1</v>
      </c>
      <c r="C174" s="277">
        <f>$H$35</f>
        <v>0.19</v>
      </c>
      <c r="D174" s="277">
        <f t="shared" si="82"/>
        <v>16.059869036482695</v>
      </c>
      <c r="E174" s="277">
        <f t="shared" ref="E174:E179" si="86">(D174-$C$51)/($B$51-$C$51)</f>
        <v>0.1244153414405989</v>
      </c>
      <c r="F174" s="269">
        <f t="shared" si="83"/>
        <v>2.0000000000000001E-10</v>
      </c>
      <c r="G174" s="269">
        <f>30*(10^(-12))</f>
        <v>3E-11</v>
      </c>
      <c r="H174" s="277">
        <f>F174/G174</f>
        <v>6.666666666666667</v>
      </c>
      <c r="I174" s="277">
        <f>H174*$E$35</f>
        <v>0.8</v>
      </c>
      <c r="J174" s="1588">
        <f>SUM(I174:I179)</f>
        <v>3.9609373235460201</v>
      </c>
      <c r="K174" s="154">
        <f t="shared" ref="K174:K180" si="87">F174*(($F$15-$C$15)/$J$65)</f>
        <v>2.9992900744423942E-8</v>
      </c>
      <c r="L174" s="277">
        <f>I174</f>
        <v>0.8</v>
      </c>
      <c r="M174" s="277">
        <f t="shared" ref="M174:M180" si="88">610.5*EXP((17.269*D174)/(237.3+D174))</f>
        <v>1824.2394095987884</v>
      </c>
      <c r="N174" s="277">
        <f t="shared" ref="N174:N180" si="89">$C$15+L174/F174*K174</f>
        <v>1378.9716029776957</v>
      </c>
      <c r="O174" s="277">
        <f>L174</f>
        <v>0.8</v>
      </c>
      <c r="P174" s="1857"/>
      <c r="Q174" s="282">
        <v>1</v>
      </c>
      <c r="R174" s="277">
        <f>$W$35</f>
        <v>0.19</v>
      </c>
      <c r="S174" s="277">
        <f t="shared" si="84"/>
        <v>16.163280384189139</v>
      </c>
      <c r="T174" s="277">
        <f t="shared" ref="T174:T179" si="90">(S174-$R$51)/($Q$51-$R$51)</f>
        <v>0.14739564093091989</v>
      </c>
      <c r="U174" s="269">
        <f t="shared" si="85"/>
        <v>2.0000000000000001E-10</v>
      </c>
      <c r="V174" s="269">
        <f>30*(10^(-12))</f>
        <v>3E-11</v>
      </c>
      <c r="W174" s="277">
        <f>U174/V174</f>
        <v>6.666666666666667</v>
      </c>
      <c r="X174" s="277">
        <f>W174*$T$35</f>
        <v>0.8</v>
      </c>
      <c r="Y174" s="1588">
        <f>SUM(X174:X179)</f>
        <v>3.1139582156973464</v>
      </c>
      <c r="Z174" s="154">
        <f t="shared" ref="Z174:Z180" si="91">U174*(($F$15-$C$15)/$J$65)</f>
        <v>2.9992900744423942E-8</v>
      </c>
      <c r="AA174" s="277">
        <f>X174</f>
        <v>0.8</v>
      </c>
      <c r="AB174" s="277">
        <f t="shared" ref="AB174:AB180" si="92">610.5*EXP((17.269*S174)/(237.3+S174))</f>
        <v>1836.3174320335891</v>
      </c>
      <c r="AC174" s="277">
        <f t="shared" ref="AC174:AC180" si="93">$C$15+AA174/U174*Z174</f>
        <v>1378.9716029776957</v>
      </c>
      <c r="AD174" s="277">
        <f>AA174</f>
        <v>0.8</v>
      </c>
    </row>
    <row r="175" spans="1:30">
      <c r="A175" s="1857"/>
      <c r="B175" s="282">
        <v>2</v>
      </c>
      <c r="C175" s="277">
        <f>$H$36</f>
        <v>0.36</v>
      </c>
      <c r="D175" s="277">
        <f t="shared" si="82"/>
        <v>16.560804490177738</v>
      </c>
      <c r="E175" s="277">
        <f t="shared" si="86"/>
        <v>0.23573433115060835</v>
      </c>
      <c r="F175" s="269">
        <f t="shared" si="83"/>
        <v>2.0000000000000001E-10</v>
      </c>
      <c r="G175" s="269" t="s">
        <v>24</v>
      </c>
      <c r="H175" s="277" t="s">
        <v>24</v>
      </c>
      <c r="I175" s="277">
        <v>0.01</v>
      </c>
      <c r="J175" s="1588"/>
      <c r="K175" s="154">
        <f t="shared" si="87"/>
        <v>2.9992900744423942E-8</v>
      </c>
      <c r="L175" s="277">
        <f>I175+L174</f>
        <v>0.81</v>
      </c>
      <c r="M175" s="277">
        <f t="shared" si="88"/>
        <v>1883.4015712618884</v>
      </c>
      <c r="N175" s="277">
        <f t="shared" si="89"/>
        <v>1380.4712480149169</v>
      </c>
      <c r="O175" s="277">
        <f t="shared" ref="O175:O179" si="94">L175</f>
        <v>0.81</v>
      </c>
      <c r="P175" s="1857"/>
      <c r="Q175" s="282">
        <v>2</v>
      </c>
      <c r="R175" s="277">
        <f>$W$36</f>
        <v>0.36</v>
      </c>
      <c r="S175" s="277">
        <f t="shared" si="84"/>
        <v>16.756741780568895</v>
      </c>
      <c r="T175" s="277">
        <f t="shared" si="90"/>
        <v>0.27927595123753218</v>
      </c>
      <c r="U175" s="269">
        <f t="shared" si="85"/>
        <v>2.0000000000000001E-10</v>
      </c>
      <c r="V175" s="269" t="s">
        <v>24</v>
      </c>
      <c r="W175" s="277" t="s">
        <v>24</v>
      </c>
      <c r="X175" s="277">
        <v>0.01</v>
      </c>
      <c r="Y175" s="1588"/>
      <c r="Z175" s="154">
        <f t="shared" si="91"/>
        <v>2.9992900744423942E-8</v>
      </c>
      <c r="AA175" s="277">
        <f>X175+AA174</f>
        <v>0.81</v>
      </c>
      <c r="AB175" s="277">
        <f t="shared" si="92"/>
        <v>1906.9957454045259</v>
      </c>
      <c r="AC175" s="277">
        <f t="shared" si="93"/>
        <v>1380.4712480149169</v>
      </c>
      <c r="AD175" s="277">
        <f t="shared" ref="AD175:AD179" si="95">AA175</f>
        <v>0.81</v>
      </c>
    </row>
    <row r="176" spans="1:30">
      <c r="A176" s="1857"/>
      <c r="B176" s="282">
        <v>3</v>
      </c>
      <c r="C176" s="277">
        <f>$H$37</f>
        <v>0.47</v>
      </c>
      <c r="D176" s="277">
        <f t="shared" si="82"/>
        <v>16.884939195509823</v>
      </c>
      <c r="E176" s="277">
        <f t="shared" si="86"/>
        <v>0.30776426566884951</v>
      </c>
      <c r="F176" s="269">
        <f t="shared" si="83"/>
        <v>2.0000000000000001E-10</v>
      </c>
      <c r="G176" s="269">
        <f>30*(10^(-12))</f>
        <v>3E-11</v>
      </c>
      <c r="H176" s="277">
        <f>F176/G176</f>
        <v>6.666666666666667</v>
      </c>
      <c r="I176" s="277">
        <f>H176*$E$37</f>
        <v>0.26666666666666666</v>
      </c>
      <c r="J176" s="1588"/>
      <c r="K176" s="154">
        <f t="shared" si="87"/>
        <v>2.9992900744423942E-8</v>
      </c>
      <c r="L176" s="277">
        <f t="shared" ref="L176:L179" si="96">I176+L175</f>
        <v>1.0766666666666667</v>
      </c>
      <c r="M176" s="277">
        <f t="shared" si="88"/>
        <v>1922.5726477194255</v>
      </c>
      <c r="N176" s="277">
        <f t="shared" si="89"/>
        <v>1420.4617823408155</v>
      </c>
      <c r="O176" s="277">
        <f t="shared" si="94"/>
        <v>1.0766666666666667</v>
      </c>
      <c r="P176" s="1857"/>
      <c r="Q176" s="282">
        <v>3</v>
      </c>
      <c r="R176" s="277">
        <f>$W$37</f>
        <v>0.47</v>
      </c>
      <c r="S176" s="277">
        <f t="shared" si="84"/>
        <v>17.140746213520501</v>
      </c>
      <c r="T176" s="277">
        <f t="shared" si="90"/>
        <v>0.3646102696712224</v>
      </c>
      <c r="U176" s="269">
        <f t="shared" si="85"/>
        <v>2.0000000000000001E-10</v>
      </c>
      <c r="V176" s="269">
        <f>30*(10^(-12))</f>
        <v>3E-11</v>
      </c>
      <c r="W176" s="277">
        <f>U176/V176</f>
        <v>6.666666666666667</v>
      </c>
      <c r="X176" s="277">
        <f>W176*$T$37</f>
        <v>0.26666666666666666</v>
      </c>
      <c r="Y176" s="1588"/>
      <c r="Z176" s="154">
        <f t="shared" si="91"/>
        <v>2.9992900744423942E-8</v>
      </c>
      <c r="AA176" s="277">
        <f t="shared" ref="AA176:AA179" si="97">X176+AA175</f>
        <v>1.0766666666666667</v>
      </c>
      <c r="AB176" s="277">
        <f t="shared" si="92"/>
        <v>1953.9884414352045</v>
      </c>
      <c r="AC176" s="277">
        <f t="shared" si="93"/>
        <v>1420.4617823408155</v>
      </c>
      <c r="AD176" s="277">
        <f t="shared" si="95"/>
        <v>1.0766666666666667</v>
      </c>
    </row>
    <row r="177" spans="1:30">
      <c r="A177" s="1857"/>
      <c r="B177" s="282">
        <v>4</v>
      </c>
      <c r="C177" s="277">
        <f>$H$38</f>
        <v>0.64</v>
      </c>
      <c r="D177" s="277">
        <f t="shared" si="82"/>
        <v>17.385874649204865</v>
      </c>
      <c r="E177" s="277">
        <f t="shared" si="86"/>
        <v>0.41908325537885893</v>
      </c>
      <c r="F177" s="269">
        <f t="shared" si="83"/>
        <v>2.0000000000000001E-10</v>
      </c>
      <c r="G177" s="269" t="s">
        <v>24</v>
      </c>
      <c r="H177" s="277" t="s">
        <v>24</v>
      </c>
      <c r="I177" s="277">
        <v>0.01</v>
      </c>
      <c r="J177" s="1588"/>
      <c r="K177" s="154">
        <f t="shared" si="87"/>
        <v>2.9992900744423942E-8</v>
      </c>
      <c r="L177" s="277">
        <f t="shared" si="96"/>
        <v>1.0866666666666667</v>
      </c>
      <c r="M177" s="277">
        <f t="shared" si="88"/>
        <v>1984.5137102510676</v>
      </c>
      <c r="N177" s="277">
        <f t="shared" si="89"/>
        <v>1421.9614273780367</v>
      </c>
      <c r="O177" s="277">
        <f t="shared" si="94"/>
        <v>1.0866666666666667</v>
      </c>
      <c r="P177" s="1857"/>
      <c r="Q177" s="282">
        <v>4</v>
      </c>
      <c r="R177" s="277">
        <f>$W$38</f>
        <v>0.64</v>
      </c>
      <c r="S177" s="277">
        <f t="shared" si="84"/>
        <v>17.73420760990026</v>
      </c>
      <c r="T177" s="277">
        <f t="shared" si="90"/>
        <v>0.49649057997783547</v>
      </c>
      <c r="U177" s="269">
        <f t="shared" si="85"/>
        <v>2.0000000000000001E-10</v>
      </c>
      <c r="V177" s="269" t="s">
        <v>24</v>
      </c>
      <c r="W177" s="277" t="s">
        <v>24</v>
      </c>
      <c r="X177" s="277">
        <v>0.01</v>
      </c>
      <c r="Y177" s="1588"/>
      <c r="Z177" s="154">
        <f t="shared" si="91"/>
        <v>2.9992900744423942E-8</v>
      </c>
      <c r="AA177" s="277">
        <f t="shared" si="97"/>
        <v>1.0866666666666667</v>
      </c>
      <c r="AB177" s="277">
        <f t="shared" si="92"/>
        <v>2028.6088941164965</v>
      </c>
      <c r="AC177" s="277">
        <f t="shared" si="93"/>
        <v>1421.9614273780367</v>
      </c>
      <c r="AD177" s="277">
        <f t="shared" si="95"/>
        <v>1.0866666666666667</v>
      </c>
    </row>
    <row r="178" spans="1:30">
      <c r="A178" s="1857"/>
      <c r="B178" s="282">
        <v>5</v>
      </c>
      <c r="C178" s="277">
        <f>$H$39</f>
        <v>1.3542857142857143</v>
      </c>
      <c r="D178" s="277">
        <f t="shared" si="82"/>
        <v>19.490645463049578</v>
      </c>
      <c r="E178" s="277">
        <f t="shared" si="86"/>
        <v>0.88681010289990625</v>
      </c>
      <c r="F178" s="269">
        <f t="shared" si="83"/>
        <v>2.0000000000000001E-10</v>
      </c>
      <c r="G178" s="269">
        <f>35.42*(10^(-12))</f>
        <v>3.5419999999999999E-11</v>
      </c>
      <c r="H178" s="277">
        <f>F178/G178</f>
        <v>5.6465273856578211</v>
      </c>
      <c r="I178" s="277">
        <f>H178*$E$39</f>
        <v>2.5409373235460198</v>
      </c>
      <c r="J178" s="1588"/>
      <c r="K178" s="154">
        <f t="shared" si="87"/>
        <v>2.9992900744423942E-8</v>
      </c>
      <c r="L178" s="277">
        <f t="shared" si="96"/>
        <v>3.6276039902126866</v>
      </c>
      <c r="M178" s="277">
        <f t="shared" si="88"/>
        <v>2264.2780127002679</v>
      </c>
      <c r="N178" s="277">
        <f t="shared" si="89"/>
        <v>1803.0118320926267</v>
      </c>
      <c r="O178" s="277">
        <f t="shared" si="94"/>
        <v>3.6276039902126866</v>
      </c>
      <c r="P178" s="1857"/>
      <c r="Q178" s="282">
        <v>5</v>
      </c>
      <c r="R178" s="277">
        <f>$W$39</f>
        <v>1.1161904761904762</v>
      </c>
      <c r="S178" s="277">
        <f t="shared" si="84"/>
        <v>19.396564462504617</v>
      </c>
      <c r="T178" s="277">
        <f t="shared" si="90"/>
        <v>0.86590321388991498</v>
      </c>
      <c r="U178" s="269">
        <f t="shared" si="85"/>
        <v>2.0000000000000001E-10</v>
      </c>
      <c r="V178" s="269">
        <f>35.42*(10^(-12))</f>
        <v>3.5419999999999999E-11</v>
      </c>
      <c r="W178" s="277">
        <f>U178/V178</f>
        <v>5.6465273856578211</v>
      </c>
      <c r="X178" s="277">
        <f>W178*$T$39</f>
        <v>1.6939582156973463</v>
      </c>
      <c r="Y178" s="1588"/>
      <c r="Z178" s="154">
        <f t="shared" si="91"/>
        <v>2.9992900744423942E-8</v>
      </c>
      <c r="AA178" s="277">
        <f t="shared" si="97"/>
        <v>2.780624882364013</v>
      </c>
      <c r="AB178" s="277">
        <f t="shared" si="92"/>
        <v>2251.0733316632354</v>
      </c>
      <c r="AC178" s="277">
        <f t="shared" si="93"/>
        <v>1675.9950305210966</v>
      </c>
      <c r="AD178" s="277">
        <f t="shared" si="95"/>
        <v>2.780624882364013</v>
      </c>
    </row>
    <row r="179" spans="1:30">
      <c r="A179" s="1857"/>
      <c r="B179" s="151">
        <v>6</v>
      </c>
      <c r="C179" s="263">
        <f>$H$40</f>
        <v>1.3971428571428572</v>
      </c>
      <c r="D179" s="277">
        <f t="shared" si="82"/>
        <v>19.616931711880262</v>
      </c>
      <c r="E179" s="277">
        <f t="shared" si="86"/>
        <v>0.91487371375116944</v>
      </c>
      <c r="F179" s="270">
        <f t="shared" si="83"/>
        <v>2.0000000000000001E-10</v>
      </c>
      <c r="G179" s="270">
        <f>18*(10^(-12))</f>
        <v>1.7999999999999999E-11</v>
      </c>
      <c r="H179" s="263">
        <f>F179/G179</f>
        <v>11.111111111111112</v>
      </c>
      <c r="I179" s="263">
        <f>H179*$E$40</f>
        <v>0.33333333333333337</v>
      </c>
      <c r="J179" s="1492"/>
      <c r="K179" s="154">
        <f t="shared" si="87"/>
        <v>2.9992900744423942E-8</v>
      </c>
      <c r="L179" s="277">
        <f t="shared" si="96"/>
        <v>3.9609373235460201</v>
      </c>
      <c r="M179" s="277">
        <f t="shared" si="88"/>
        <v>2282.1093237602695</v>
      </c>
      <c r="N179" s="277">
        <f t="shared" si="89"/>
        <v>1853</v>
      </c>
      <c r="O179" s="277">
        <f t="shared" si="94"/>
        <v>3.9609373235460201</v>
      </c>
      <c r="P179" s="1857"/>
      <c r="Q179" s="151">
        <v>6</v>
      </c>
      <c r="R179" s="277">
        <f>$W$40</f>
        <v>1.1590476190476191</v>
      </c>
      <c r="S179" s="277">
        <f t="shared" si="84"/>
        <v>19.54617657923901</v>
      </c>
      <c r="T179" s="277">
        <f t="shared" si="90"/>
        <v>0.89915035094200213</v>
      </c>
      <c r="U179" s="270">
        <f t="shared" si="85"/>
        <v>2.0000000000000001E-10</v>
      </c>
      <c r="V179" s="270">
        <f>18*(10^(-12))</f>
        <v>1.7999999999999999E-11</v>
      </c>
      <c r="W179" s="263">
        <f>U179/V179</f>
        <v>11.111111111111112</v>
      </c>
      <c r="X179" s="263">
        <f>W179*$T$40</f>
        <v>0.33333333333333337</v>
      </c>
      <c r="Y179" s="1492"/>
      <c r="Z179" s="154">
        <f t="shared" si="91"/>
        <v>2.9992900744423942E-8</v>
      </c>
      <c r="AA179" s="277">
        <f t="shared" si="97"/>
        <v>3.1139582156973464</v>
      </c>
      <c r="AB179" s="277">
        <f t="shared" si="92"/>
        <v>2272.1038029034607</v>
      </c>
      <c r="AC179" s="277">
        <f t="shared" si="93"/>
        <v>1725.9831984284699</v>
      </c>
      <c r="AD179" s="277">
        <f t="shared" si="95"/>
        <v>3.1139582156973464</v>
      </c>
    </row>
    <row r="180" spans="1:30">
      <c r="A180" s="1857"/>
      <c r="B180" s="269" t="s">
        <v>483</v>
      </c>
      <c r="C180" s="277">
        <f>$C$70+$G$41</f>
        <v>1.5271428571428571</v>
      </c>
      <c r="D180" s="277">
        <v>20</v>
      </c>
      <c r="E180" s="263" t="s">
        <v>24</v>
      </c>
      <c r="F180" s="269">
        <f t="shared" si="83"/>
        <v>2.0000000000000001E-10</v>
      </c>
      <c r="G180" s="269" t="s">
        <v>24</v>
      </c>
      <c r="H180" s="269" t="s">
        <v>24</v>
      </c>
      <c r="I180" s="269" t="s">
        <v>24</v>
      </c>
      <c r="J180" s="269" t="s">
        <v>24</v>
      </c>
      <c r="K180" s="154">
        <f t="shared" si="87"/>
        <v>2.9992900744423942E-8</v>
      </c>
      <c r="L180" s="277">
        <f>L179</f>
        <v>3.9609373235460201</v>
      </c>
      <c r="M180" s="277">
        <f t="shared" si="88"/>
        <v>2336.9511438023419</v>
      </c>
      <c r="N180" s="277">
        <f t="shared" si="89"/>
        <v>1853</v>
      </c>
      <c r="O180" s="277">
        <f>O179+0.1</f>
        <v>4.0609373235460202</v>
      </c>
      <c r="P180" s="1857"/>
      <c r="Q180" s="269" t="s">
        <v>483</v>
      </c>
      <c r="R180" s="277">
        <f>$R$70+$V$41</f>
        <v>1.289047619047619</v>
      </c>
      <c r="S180" s="277">
        <v>20</v>
      </c>
      <c r="T180" s="263" t="s">
        <v>24</v>
      </c>
      <c r="U180" s="269">
        <f t="shared" si="85"/>
        <v>2.0000000000000001E-10</v>
      </c>
      <c r="V180" s="269" t="s">
        <v>24</v>
      </c>
      <c r="W180" s="269" t="s">
        <v>24</v>
      </c>
      <c r="X180" s="269" t="s">
        <v>24</v>
      </c>
      <c r="Y180" s="269" t="s">
        <v>24</v>
      </c>
      <c r="Z180" s="154">
        <f t="shared" si="91"/>
        <v>2.9992900744423942E-8</v>
      </c>
      <c r="AA180" s="277">
        <f>AA179</f>
        <v>3.1139582156973464</v>
      </c>
      <c r="AB180" s="277">
        <f t="shared" si="92"/>
        <v>2336.9511438023419</v>
      </c>
      <c r="AC180" s="277">
        <f t="shared" si="93"/>
        <v>1725.9831984284699</v>
      </c>
      <c r="AD180" s="277">
        <f>AD179+0.1</f>
        <v>3.2139582156973465</v>
      </c>
    </row>
    <row r="181" spans="1:30">
      <c r="A181" s="1857"/>
      <c r="B181" s="1866" t="s">
        <v>473</v>
      </c>
      <c r="C181" s="1866"/>
      <c r="D181" s="1866"/>
      <c r="E181" s="1867"/>
      <c r="F181" s="1868" t="s">
        <v>473</v>
      </c>
      <c r="G181" s="1869"/>
      <c r="H181" s="1869"/>
      <c r="I181" s="1869"/>
      <c r="J181" s="1869"/>
      <c r="K181" s="1869"/>
      <c r="L181" s="1869"/>
      <c r="M181" s="1869"/>
      <c r="N181" s="1869"/>
      <c r="O181" s="1870"/>
      <c r="P181" s="1857"/>
      <c r="Q181" s="1866" t="s">
        <v>473</v>
      </c>
      <c r="R181" s="1866"/>
      <c r="S181" s="1866"/>
      <c r="T181" s="1867"/>
      <c r="U181" s="1868" t="s">
        <v>473</v>
      </c>
      <c r="V181" s="1869"/>
      <c r="W181" s="1869"/>
      <c r="X181" s="1869"/>
      <c r="Y181" s="1869"/>
      <c r="Z181" s="1869"/>
      <c r="AA181" s="1869"/>
      <c r="AB181" s="1869"/>
      <c r="AC181" s="1869"/>
      <c r="AD181" s="1870"/>
    </row>
    <row r="182" spans="1:30">
      <c r="A182" s="1857"/>
      <c r="B182" s="1871" t="str">
        <f>IF(E179&gt;$J$15,"Non ha inizio la crescita di muffe","Ha inizio la crescita di muffe")</f>
        <v>Ha inizio la crescita di muffe</v>
      </c>
      <c r="C182" s="1871"/>
      <c r="D182" s="1871"/>
      <c r="E182" s="1872"/>
      <c r="F182" s="1873" t="s">
        <v>487</v>
      </c>
      <c r="G182" s="1871"/>
      <c r="H182" s="1871"/>
      <c r="I182" s="1871"/>
      <c r="J182" s="1871"/>
      <c r="K182" s="1871"/>
      <c r="L182" s="1871"/>
      <c r="M182" s="1871"/>
      <c r="N182" s="1871"/>
      <c r="O182" s="1872"/>
      <c r="P182" s="1857"/>
      <c r="Q182" s="1871" t="str">
        <f>IF(T179&gt;$J$15,"Non ha inizio la crescita di muffe","Ha inizio la crescita di muffe")</f>
        <v>Ha inizio la crescita di muffe</v>
      </c>
      <c r="R182" s="1871"/>
      <c r="S182" s="1871"/>
      <c r="T182" s="1872"/>
      <c r="U182" s="1873" t="s">
        <v>487</v>
      </c>
      <c r="V182" s="1871"/>
      <c r="W182" s="1871"/>
      <c r="X182" s="1871"/>
      <c r="Y182" s="1871"/>
      <c r="Z182" s="1871"/>
      <c r="AA182" s="1871"/>
      <c r="AB182" s="1871"/>
      <c r="AC182" s="1871"/>
      <c r="AD182" s="1872"/>
    </row>
    <row r="183" spans="1:30">
      <c r="B183" s="86"/>
      <c r="C183" s="86"/>
      <c r="D183" s="86"/>
      <c r="E183" s="86"/>
      <c r="F183" s="86"/>
      <c r="G183" s="86"/>
      <c r="H183" s="86"/>
      <c r="I183" s="86"/>
      <c r="J183" s="86"/>
      <c r="K183" s="86"/>
      <c r="L183" s="86"/>
      <c r="M183" s="86"/>
      <c r="N183" s="86"/>
      <c r="O183" s="86"/>
      <c r="P183" s="20"/>
      <c r="Q183" s="86"/>
      <c r="R183" s="86"/>
      <c r="S183" s="86"/>
      <c r="T183" s="86"/>
      <c r="U183" s="86"/>
      <c r="V183" s="86"/>
      <c r="W183" s="86"/>
      <c r="X183" s="86"/>
      <c r="Y183" s="86"/>
      <c r="Z183" s="86"/>
      <c r="AA183" s="86"/>
      <c r="AB183" s="86"/>
      <c r="AC183" s="86"/>
      <c r="AD183" s="86"/>
    </row>
    <row r="184" spans="1:30">
      <c r="B184" s="86"/>
      <c r="C184" s="86"/>
      <c r="D184" s="86"/>
      <c r="E184" s="86"/>
      <c r="F184" s="86"/>
      <c r="G184" s="86"/>
      <c r="H184" s="86"/>
      <c r="I184" s="86"/>
      <c r="J184" s="86"/>
      <c r="K184" s="86"/>
      <c r="L184" s="86"/>
      <c r="M184" s="86"/>
      <c r="N184" s="86"/>
      <c r="O184" s="86"/>
      <c r="P184" s="20"/>
      <c r="Q184" s="86"/>
      <c r="R184" s="86"/>
      <c r="S184" s="86"/>
      <c r="T184" s="86"/>
      <c r="U184" s="86"/>
      <c r="V184" s="86"/>
      <c r="W184" s="86"/>
      <c r="X184" s="86"/>
      <c r="Y184" s="86"/>
      <c r="Z184" s="86"/>
      <c r="AA184" s="86"/>
      <c r="AB184" s="86"/>
      <c r="AC184" s="86"/>
      <c r="AD184" s="86"/>
    </row>
    <row r="185" spans="1:30">
      <c r="A185" s="1857" t="s">
        <v>215</v>
      </c>
      <c r="B185" s="1858" t="s">
        <v>463</v>
      </c>
      <c r="C185" s="1858"/>
      <c r="D185" s="1858"/>
      <c r="E185" s="1858"/>
      <c r="F185" s="1859" t="s">
        <v>488</v>
      </c>
      <c r="G185" s="1860"/>
      <c r="H185" s="1860"/>
      <c r="I185" s="1860"/>
      <c r="J185" s="1860"/>
      <c r="K185" s="1860"/>
      <c r="L185" s="1860"/>
      <c r="M185" s="1860"/>
      <c r="N185" s="1860"/>
      <c r="O185" s="1861"/>
      <c r="P185" s="1857" t="s">
        <v>215</v>
      </c>
      <c r="Q185" s="1858" t="s">
        <v>463</v>
      </c>
      <c r="R185" s="1858"/>
      <c r="S185" s="1858"/>
      <c r="T185" s="1858"/>
      <c r="U185" s="1859" t="s">
        <v>488</v>
      </c>
      <c r="V185" s="1860"/>
      <c r="W185" s="1860"/>
      <c r="X185" s="1860"/>
      <c r="Y185" s="1860"/>
      <c r="Z185" s="1860"/>
      <c r="AA185" s="1860"/>
      <c r="AB185" s="1860"/>
      <c r="AC185" s="1860"/>
      <c r="AD185" s="1861"/>
    </row>
    <row r="186" spans="1:30">
      <c r="A186" s="1857"/>
      <c r="B186" s="1858"/>
      <c r="C186" s="1858"/>
      <c r="D186" s="1858"/>
      <c r="E186" s="1858"/>
      <c r="F186" s="1862"/>
      <c r="G186" s="1863"/>
      <c r="H186" s="1863"/>
      <c r="I186" s="1863"/>
      <c r="J186" s="1863"/>
      <c r="K186" s="1863"/>
      <c r="L186" s="1863"/>
      <c r="M186" s="1863"/>
      <c r="N186" s="1863"/>
      <c r="O186" s="1864"/>
      <c r="P186" s="1857"/>
      <c r="Q186" s="1858"/>
      <c r="R186" s="1858"/>
      <c r="S186" s="1858"/>
      <c r="T186" s="1858"/>
      <c r="U186" s="1862"/>
      <c r="V186" s="1863"/>
      <c r="W186" s="1863"/>
      <c r="X186" s="1863"/>
      <c r="Y186" s="1863"/>
      <c r="Z186" s="1863"/>
      <c r="AA186" s="1863"/>
      <c r="AB186" s="1863"/>
      <c r="AC186" s="1863"/>
      <c r="AD186" s="1864"/>
    </row>
    <row r="187" spans="1:30" ht="17">
      <c r="A187" s="1857"/>
      <c r="B187" s="1865" t="s">
        <v>469</v>
      </c>
      <c r="C187" s="173" t="s">
        <v>467</v>
      </c>
      <c r="D187" s="287" t="s">
        <v>470</v>
      </c>
      <c r="E187" s="290" t="s">
        <v>471</v>
      </c>
      <c r="F187" s="290" t="s">
        <v>475</v>
      </c>
      <c r="G187" s="288" t="s">
        <v>476</v>
      </c>
      <c r="H187" s="288" t="s">
        <v>477</v>
      </c>
      <c r="I187" s="288" t="s">
        <v>478</v>
      </c>
      <c r="J187" s="181" t="s">
        <v>480</v>
      </c>
      <c r="K187" s="181" t="s">
        <v>481</v>
      </c>
      <c r="L187" s="212" t="s">
        <v>479</v>
      </c>
      <c r="M187" s="212" t="s">
        <v>484</v>
      </c>
      <c r="N187" s="212" t="s">
        <v>485</v>
      </c>
      <c r="O187" s="212" t="s">
        <v>486</v>
      </c>
      <c r="P187" s="1857"/>
      <c r="Q187" s="1865" t="s">
        <v>469</v>
      </c>
      <c r="R187" s="173" t="s">
        <v>467</v>
      </c>
      <c r="S187" s="287" t="s">
        <v>470</v>
      </c>
      <c r="T187" s="290" t="s">
        <v>471</v>
      </c>
      <c r="U187" s="290" t="s">
        <v>475</v>
      </c>
      <c r="V187" s="288" t="s">
        <v>476</v>
      </c>
      <c r="W187" s="288" t="s">
        <v>477</v>
      </c>
      <c r="X187" s="288" t="s">
        <v>478</v>
      </c>
      <c r="Y187" s="181" t="s">
        <v>480</v>
      </c>
      <c r="Z187" s="181" t="s">
        <v>481</v>
      </c>
      <c r="AA187" s="212" t="s">
        <v>479</v>
      </c>
      <c r="AB187" s="212" t="s">
        <v>484</v>
      </c>
      <c r="AC187" s="212" t="s">
        <v>485</v>
      </c>
      <c r="AD187" s="212" t="s">
        <v>486</v>
      </c>
    </row>
    <row r="188" spans="1:30" ht="16">
      <c r="A188" s="1857"/>
      <c r="B188" s="1865"/>
      <c r="C188" s="174" t="s">
        <v>45</v>
      </c>
      <c r="D188" s="289" t="s">
        <v>351</v>
      </c>
      <c r="E188" s="291" t="s">
        <v>24</v>
      </c>
      <c r="F188" s="267" t="s">
        <v>474</v>
      </c>
      <c r="G188" s="267" t="s">
        <v>474</v>
      </c>
      <c r="H188" s="267" t="s">
        <v>24</v>
      </c>
      <c r="I188" s="267" t="s">
        <v>31</v>
      </c>
      <c r="J188" s="267" t="s">
        <v>31</v>
      </c>
      <c r="K188" s="267" t="s">
        <v>482</v>
      </c>
      <c r="L188" s="267" t="s">
        <v>31</v>
      </c>
      <c r="M188" s="267" t="s">
        <v>443</v>
      </c>
      <c r="N188" s="267" t="s">
        <v>443</v>
      </c>
      <c r="O188" s="267" t="s">
        <v>24</v>
      </c>
      <c r="P188" s="1857"/>
      <c r="Q188" s="1865"/>
      <c r="R188" s="174" t="s">
        <v>45</v>
      </c>
      <c r="S188" s="289" t="s">
        <v>351</v>
      </c>
      <c r="T188" s="291" t="s">
        <v>24</v>
      </c>
      <c r="U188" s="267" t="s">
        <v>474</v>
      </c>
      <c r="V188" s="267" t="s">
        <v>474</v>
      </c>
      <c r="W188" s="267" t="s">
        <v>24</v>
      </c>
      <c r="X188" s="267" t="s">
        <v>31</v>
      </c>
      <c r="Y188" s="267" t="s">
        <v>31</v>
      </c>
      <c r="Z188" s="267" t="s">
        <v>482</v>
      </c>
      <c r="AA188" s="267" t="s">
        <v>31</v>
      </c>
      <c r="AB188" s="267" t="s">
        <v>443</v>
      </c>
      <c r="AC188" s="267" t="s">
        <v>443</v>
      </c>
      <c r="AD188" s="267" t="s">
        <v>24</v>
      </c>
    </row>
    <row r="189" spans="1:30">
      <c r="A189" s="1857"/>
      <c r="B189" s="282" t="s">
        <v>472</v>
      </c>
      <c r="C189" s="277">
        <f>$H$34</f>
        <v>0.04</v>
      </c>
      <c r="D189" s="277">
        <f t="shared" ref="D189:D195" si="98">$C$52+(C189/$N$40)*($B$52-$C$52)</f>
        <v>11.917399438727783</v>
      </c>
      <c r="E189" s="277">
        <f>(D189-$C$52)/($B$52-$C$52)</f>
        <v>2.6192703461178711E-2</v>
      </c>
      <c r="F189" s="269">
        <f t="shared" ref="F189:F196" si="99">2*(1/10^10)</f>
        <v>2.0000000000000001E-10</v>
      </c>
      <c r="G189" s="269" t="s">
        <v>24</v>
      </c>
      <c r="H189" s="269" t="s">
        <v>24</v>
      </c>
      <c r="I189" s="269" t="s">
        <v>24</v>
      </c>
      <c r="J189" s="269" t="s">
        <v>24</v>
      </c>
      <c r="K189" s="87">
        <v>0</v>
      </c>
      <c r="L189" s="277">
        <v>0</v>
      </c>
      <c r="M189" s="277">
        <f>610.5*EXP((17.269*D189)/(237.3+D189))</f>
        <v>1394.1910537278063</v>
      </c>
      <c r="N189" s="277">
        <f>$C$16+L189/F189*K189</f>
        <v>1151</v>
      </c>
      <c r="O189" s="269">
        <v>0</v>
      </c>
      <c r="P189" s="1857"/>
      <c r="Q189" s="282" t="s">
        <v>472</v>
      </c>
      <c r="R189" s="277">
        <f>$W$34</f>
        <v>0.04</v>
      </c>
      <c r="S189" s="277">
        <f t="shared" ref="S189:S195" si="100">$R$52+(R189/$AC$40)*($Q$52-$R$52)</f>
        <v>11.957554488363501</v>
      </c>
      <c r="T189" s="277">
        <f>(S189-$R$52)/($Q$52-$R$52)</f>
        <v>3.1030661248614633E-2</v>
      </c>
      <c r="U189" s="269">
        <f t="shared" ref="U189:U196" si="101">2*(1/10^10)</f>
        <v>2.0000000000000001E-10</v>
      </c>
      <c r="V189" s="269" t="s">
        <v>24</v>
      </c>
      <c r="W189" s="269" t="s">
        <v>24</v>
      </c>
      <c r="X189" s="269" t="s">
        <v>24</v>
      </c>
      <c r="Y189" s="269" t="s">
        <v>24</v>
      </c>
      <c r="Z189" s="87">
        <v>0</v>
      </c>
      <c r="AA189" s="277">
        <v>0</v>
      </c>
      <c r="AB189" s="277">
        <f>610.5*EXP((17.269*S189)/(237.3+S189))</f>
        <v>1397.8891315149981</v>
      </c>
      <c r="AC189" s="277">
        <f>$C$16+AA189/U189*Z189</f>
        <v>1151</v>
      </c>
      <c r="AD189" s="269">
        <v>0</v>
      </c>
    </row>
    <row r="190" spans="1:30">
      <c r="A190" s="1857"/>
      <c r="B190" s="282">
        <v>1</v>
      </c>
      <c r="C190" s="277">
        <f>$H$35</f>
        <v>0.19</v>
      </c>
      <c r="D190" s="277">
        <f t="shared" si="98"/>
        <v>12.732647333956969</v>
      </c>
      <c r="E190" s="277">
        <f t="shared" ref="E190:E195" si="102">(D190-$C$52)/($B$52-$C$52)</f>
        <v>0.12441534144059872</v>
      </c>
      <c r="F190" s="269">
        <f t="shared" si="99"/>
        <v>2.0000000000000001E-10</v>
      </c>
      <c r="G190" s="269">
        <f>30*(10^(-12))</f>
        <v>3E-11</v>
      </c>
      <c r="H190" s="277">
        <f>F190/G190</f>
        <v>6.666666666666667</v>
      </c>
      <c r="I190" s="277">
        <f>H190*$E$35</f>
        <v>0.8</v>
      </c>
      <c r="J190" s="1588">
        <f>SUM(I190:I195)</f>
        <v>3.9609373235460201</v>
      </c>
      <c r="K190" s="154">
        <f t="shared" ref="K190:K196" si="103">F190*(($F$16-$C$16)/$J$65)</f>
        <v>4.4989351116635917E-8</v>
      </c>
      <c r="L190" s="277">
        <f>I190</f>
        <v>0.8</v>
      </c>
      <c r="M190" s="277">
        <f t="shared" ref="M190:M196" si="104">610.5*EXP((17.269*D190)/(237.3+D190))</f>
        <v>1470.9795226585986</v>
      </c>
      <c r="N190" s="277">
        <f t="shared" ref="N190:N196" si="105">$C$16+L190/F190*K190</f>
        <v>1330.9574044665437</v>
      </c>
      <c r="O190" s="277">
        <f>L190</f>
        <v>0.8</v>
      </c>
      <c r="P190" s="1857"/>
      <c r="Q190" s="282">
        <v>1</v>
      </c>
      <c r="R190" s="277">
        <f>$W$35</f>
        <v>0.19</v>
      </c>
      <c r="S190" s="277">
        <f t="shared" si="100"/>
        <v>12.923383819726634</v>
      </c>
      <c r="T190" s="277">
        <f t="shared" ref="T190:T195" si="106">(S190-$R$52)/($Q$52-$R$52)</f>
        <v>0.14739564093091989</v>
      </c>
      <c r="U190" s="269">
        <f t="shared" si="101"/>
        <v>2.0000000000000001E-10</v>
      </c>
      <c r="V190" s="269">
        <f>30*(10^(-12))</f>
        <v>3E-11</v>
      </c>
      <c r="W190" s="277">
        <f>U190/V190</f>
        <v>6.666666666666667</v>
      </c>
      <c r="X190" s="277">
        <f>W190*$T$35</f>
        <v>0.8</v>
      </c>
      <c r="Y190" s="1588">
        <f>SUM(X190:X195)</f>
        <v>3.1139582156973464</v>
      </c>
      <c r="Z190" s="154">
        <f t="shared" ref="Z190:Z196" si="107">U190*(($F$16-$C$16)/$J$65)</f>
        <v>4.4989351116635917E-8</v>
      </c>
      <c r="AA190" s="277">
        <f>X190</f>
        <v>0.8</v>
      </c>
      <c r="AB190" s="277">
        <f t="shared" ref="AB190:AB196" si="108">610.5*EXP((17.269*S190)/(237.3+S190))</f>
        <v>1489.4720559899456</v>
      </c>
      <c r="AC190" s="277">
        <f t="shared" ref="AC190:AC196" si="109">$C$16+AA190/U190*Z190</f>
        <v>1330.9574044665437</v>
      </c>
      <c r="AD190" s="277">
        <f>AA190</f>
        <v>0.8</v>
      </c>
    </row>
    <row r="191" spans="1:30">
      <c r="A191" s="1857"/>
      <c r="B191" s="282">
        <v>2</v>
      </c>
      <c r="C191" s="277">
        <f>$H$36</f>
        <v>0.36</v>
      </c>
      <c r="D191" s="277">
        <f t="shared" si="98"/>
        <v>13.656594948550046</v>
      </c>
      <c r="E191" s="277">
        <f t="shared" si="102"/>
        <v>0.23573433115060799</v>
      </c>
      <c r="F191" s="269">
        <f t="shared" si="99"/>
        <v>2.0000000000000001E-10</v>
      </c>
      <c r="G191" s="269" t="s">
        <v>24</v>
      </c>
      <c r="H191" s="277" t="s">
        <v>24</v>
      </c>
      <c r="I191" s="277">
        <v>0.01</v>
      </c>
      <c r="J191" s="1588"/>
      <c r="K191" s="154">
        <f t="shared" si="103"/>
        <v>4.4989351116635917E-8</v>
      </c>
      <c r="L191" s="277">
        <f>I191+L190</f>
        <v>0.81</v>
      </c>
      <c r="M191" s="277">
        <f t="shared" si="104"/>
        <v>1562.4734927281872</v>
      </c>
      <c r="N191" s="277">
        <f t="shared" si="105"/>
        <v>1333.2068720223754</v>
      </c>
      <c r="O191" s="277">
        <f t="shared" ref="O191:O195" si="110">L191</f>
        <v>0.81</v>
      </c>
      <c r="P191" s="1857"/>
      <c r="Q191" s="282">
        <v>2</v>
      </c>
      <c r="R191" s="277">
        <f>$W$36</f>
        <v>0.36</v>
      </c>
      <c r="S191" s="277">
        <f t="shared" si="100"/>
        <v>14.017990395271518</v>
      </c>
      <c r="T191" s="277">
        <f t="shared" si="106"/>
        <v>0.27927595123753235</v>
      </c>
      <c r="U191" s="269">
        <f t="shared" si="101"/>
        <v>2.0000000000000001E-10</v>
      </c>
      <c r="V191" s="269" t="s">
        <v>24</v>
      </c>
      <c r="W191" s="277" t="s">
        <v>24</v>
      </c>
      <c r="X191" s="277">
        <v>0.01</v>
      </c>
      <c r="Y191" s="1588"/>
      <c r="Z191" s="154">
        <f t="shared" si="107"/>
        <v>4.4989351116635917E-8</v>
      </c>
      <c r="AA191" s="277">
        <f>X191+AA190</f>
        <v>0.81</v>
      </c>
      <c r="AB191" s="277">
        <f t="shared" si="108"/>
        <v>1599.5968279114443</v>
      </c>
      <c r="AC191" s="277">
        <f t="shared" si="109"/>
        <v>1333.2068720223754</v>
      </c>
      <c r="AD191" s="277">
        <f t="shared" ref="AD191:AD195" si="111">AA191</f>
        <v>0.81</v>
      </c>
    </row>
    <row r="192" spans="1:30">
      <c r="A192" s="1857"/>
      <c r="B192" s="282">
        <v>3</v>
      </c>
      <c r="C192" s="277">
        <f>$H$37</f>
        <v>0.47</v>
      </c>
      <c r="D192" s="277">
        <f t="shared" si="98"/>
        <v>14.25444340505145</v>
      </c>
      <c r="E192" s="277">
        <f t="shared" si="102"/>
        <v>0.30776426566884951</v>
      </c>
      <c r="F192" s="269">
        <f t="shared" si="99"/>
        <v>2.0000000000000001E-10</v>
      </c>
      <c r="G192" s="269">
        <f>30*(10^(-12))</f>
        <v>3E-11</v>
      </c>
      <c r="H192" s="277">
        <f>F192/G192</f>
        <v>6.666666666666667</v>
      </c>
      <c r="I192" s="277">
        <f>H192*$E$37</f>
        <v>0.26666666666666666</v>
      </c>
      <c r="J192" s="1588"/>
      <c r="K192" s="154">
        <f t="shared" si="103"/>
        <v>4.4989351116635917E-8</v>
      </c>
      <c r="L192" s="277">
        <f t="shared" ref="L192:L195" si="112">I192+L191</f>
        <v>1.0766666666666667</v>
      </c>
      <c r="M192" s="277">
        <f t="shared" si="104"/>
        <v>1624.3025289123204</v>
      </c>
      <c r="N192" s="277">
        <f t="shared" si="105"/>
        <v>1393.1926735112233</v>
      </c>
      <c r="O192" s="277">
        <f t="shared" si="110"/>
        <v>1.0766666666666667</v>
      </c>
      <c r="P192" s="1857"/>
      <c r="Q192" s="282">
        <v>3</v>
      </c>
      <c r="R192" s="277">
        <f>$W$37</f>
        <v>0.47</v>
      </c>
      <c r="S192" s="277">
        <f t="shared" si="100"/>
        <v>14.726265238271148</v>
      </c>
      <c r="T192" s="277">
        <f t="shared" si="106"/>
        <v>0.36461026967122273</v>
      </c>
      <c r="U192" s="269">
        <f t="shared" si="101"/>
        <v>2.0000000000000001E-10</v>
      </c>
      <c r="V192" s="269">
        <f>30*(10^(-12))</f>
        <v>3E-11</v>
      </c>
      <c r="W192" s="277">
        <f>U192/V192</f>
        <v>6.666666666666667</v>
      </c>
      <c r="X192" s="277">
        <f>W192*$T$37</f>
        <v>0.26666666666666666</v>
      </c>
      <c r="Y192" s="1588"/>
      <c r="Z192" s="154">
        <f t="shared" si="107"/>
        <v>4.4989351116635917E-8</v>
      </c>
      <c r="AA192" s="277">
        <f t="shared" ref="AA192:AA195" si="113">X192+AA191</f>
        <v>1.0766666666666667</v>
      </c>
      <c r="AB192" s="277">
        <f t="shared" si="108"/>
        <v>1674.6029218691899</v>
      </c>
      <c r="AC192" s="277">
        <f t="shared" si="109"/>
        <v>1393.1926735112233</v>
      </c>
      <c r="AD192" s="277">
        <f t="shared" si="111"/>
        <v>1.0766666666666667</v>
      </c>
    </row>
    <row r="193" spans="1:30">
      <c r="A193" s="1857"/>
      <c r="B193" s="282">
        <v>4</v>
      </c>
      <c r="C193" s="277">
        <f>$H$38</f>
        <v>0.64</v>
      </c>
      <c r="D193" s="277">
        <f t="shared" si="98"/>
        <v>15.178391019644527</v>
      </c>
      <c r="E193" s="277">
        <f t="shared" si="102"/>
        <v>0.41908325537885877</v>
      </c>
      <c r="F193" s="269">
        <f t="shared" si="99"/>
        <v>2.0000000000000001E-10</v>
      </c>
      <c r="G193" s="269" t="s">
        <v>24</v>
      </c>
      <c r="H193" s="277" t="s">
        <v>24</v>
      </c>
      <c r="I193" s="277">
        <v>0.01</v>
      </c>
      <c r="J193" s="1588"/>
      <c r="K193" s="154">
        <f t="shared" si="103"/>
        <v>4.4989351116635917E-8</v>
      </c>
      <c r="L193" s="277">
        <f t="shared" si="112"/>
        <v>1.0866666666666667</v>
      </c>
      <c r="M193" s="277">
        <f t="shared" si="104"/>
        <v>1724.0800126163883</v>
      </c>
      <c r="N193" s="277">
        <f t="shared" si="105"/>
        <v>1395.4421410670552</v>
      </c>
      <c r="O193" s="277">
        <f t="shared" si="110"/>
        <v>1.0866666666666667</v>
      </c>
      <c r="P193" s="1857"/>
      <c r="Q193" s="282">
        <v>4</v>
      </c>
      <c r="R193" s="277">
        <f>$W$38</f>
        <v>0.64</v>
      </c>
      <c r="S193" s="277">
        <f t="shared" si="100"/>
        <v>15.820871813816032</v>
      </c>
      <c r="T193" s="277">
        <f t="shared" si="106"/>
        <v>0.49649057997783519</v>
      </c>
      <c r="U193" s="269">
        <f t="shared" si="101"/>
        <v>2.0000000000000001E-10</v>
      </c>
      <c r="V193" s="269" t="s">
        <v>24</v>
      </c>
      <c r="W193" s="277" t="s">
        <v>24</v>
      </c>
      <c r="X193" s="277">
        <v>0.01</v>
      </c>
      <c r="Y193" s="1588"/>
      <c r="Z193" s="154">
        <f t="shared" si="107"/>
        <v>4.4989351116635917E-8</v>
      </c>
      <c r="AA193" s="277">
        <f t="shared" si="113"/>
        <v>1.0866666666666667</v>
      </c>
      <c r="AB193" s="277">
        <f t="shared" si="108"/>
        <v>1796.5915312624768</v>
      </c>
      <c r="AC193" s="277">
        <f t="shared" si="109"/>
        <v>1395.4421410670552</v>
      </c>
      <c r="AD193" s="277">
        <f t="shared" si="111"/>
        <v>1.0866666666666667</v>
      </c>
    </row>
    <row r="194" spans="1:30">
      <c r="A194" s="1857"/>
      <c r="B194" s="282">
        <v>5</v>
      </c>
      <c r="C194" s="277">
        <f>$H$39</f>
        <v>1.3542857142857143</v>
      </c>
      <c r="D194" s="277">
        <f t="shared" si="98"/>
        <v>19.060523854069224</v>
      </c>
      <c r="E194" s="277">
        <f t="shared" si="102"/>
        <v>0.88681010289990658</v>
      </c>
      <c r="F194" s="269">
        <f t="shared" si="99"/>
        <v>2.0000000000000001E-10</v>
      </c>
      <c r="G194" s="269">
        <f>35.42*(10^(-12))</f>
        <v>3.5419999999999999E-11</v>
      </c>
      <c r="H194" s="277">
        <f>F194/G194</f>
        <v>5.6465273856578211</v>
      </c>
      <c r="I194" s="277">
        <f>H194*$E$39</f>
        <v>2.5409373235460198</v>
      </c>
      <c r="J194" s="1588"/>
      <c r="K194" s="154">
        <f t="shared" si="103"/>
        <v>4.4989351116635917E-8</v>
      </c>
      <c r="L194" s="277">
        <f t="shared" si="112"/>
        <v>3.6276039902126866</v>
      </c>
      <c r="M194" s="277">
        <f t="shared" si="104"/>
        <v>2204.456899108759</v>
      </c>
      <c r="N194" s="277">
        <f t="shared" si="105"/>
        <v>1967.0177481389401</v>
      </c>
      <c r="O194" s="277">
        <f t="shared" si="110"/>
        <v>3.6276039902126866</v>
      </c>
      <c r="P194" s="1857"/>
      <c r="Q194" s="282">
        <v>5</v>
      </c>
      <c r="R194" s="277">
        <f>$W$39</f>
        <v>1.1161904761904762</v>
      </c>
      <c r="S194" s="277">
        <f t="shared" si="100"/>
        <v>18.886996675286294</v>
      </c>
      <c r="T194" s="277">
        <f t="shared" si="106"/>
        <v>0.86590321388991498</v>
      </c>
      <c r="U194" s="269">
        <f t="shared" si="101"/>
        <v>2.0000000000000001E-10</v>
      </c>
      <c r="V194" s="269">
        <f>35.42*(10^(-12))</f>
        <v>3.5419999999999999E-11</v>
      </c>
      <c r="W194" s="277">
        <f>U194/V194</f>
        <v>5.6465273856578211</v>
      </c>
      <c r="X194" s="277">
        <f>W194*$T$39</f>
        <v>1.6939582156973463</v>
      </c>
      <c r="Y194" s="1588"/>
      <c r="Z194" s="154">
        <f t="shared" si="107"/>
        <v>4.4989351116635917E-8</v>
      </c>
      <c r="AA194" s="277">
        <f t="shared" si="113"/>
        <v>2.780624882364013</v>
      </c>
      <c r="AB194" s="277">
        <f t="shared" si="108"/>
        <v>2180.7171134060127</v>
      </c>
      <c r="AC194" s="277">
        <f t="shared" si="109"/>
        <v>1776.492545781645</v>
      </c>
      <c r="AD194" s="277">
        <f t="shared" si="111"/>
        <v>2.780624882364013</v>
      </c>
    </row>
    <row r="195" spans="1:30">
      <c r="A195" s="1857"/>
      <c r="B195" s="151">
        <v>6</v>
      </c>
      <c r="C195" s="263">
        <f>$H$40</f>
        <v>1.3971428571428572</v>
      </c>
      <c r="D195" s="277">
        <f t="shared" si="98"/>
        <v>19.293451824134706</v>
      </c>
      <c r="E195" s="277">
        <f t="shared" si="102"/>
        <v>0.91487371375116944</v>
      </c>
      <c r="F195" s="270">
        <f t="shared" si="99"/>
        <v>2.0000000000000001E-10</v>
      </c>
      <c r="G195" s="270">
        <f>18*(10^(-12))</f>
        <v>1.7999999999999999E-11</v>
      </c>
      <c r="H195" s="263">
        <f>F195/G195</f>
        <v>11.111111111111112</v>
      </c>
      <c r="I195" s="263">
        <f>H195*$E$40</f>
        <v>0.33333333333333337</v>
      </c>
      <c r="J195" s="1492"/>
      <c r="K195" s="154">
        <f t="shared" si="103"/>
        <v>4.4989351116635917E-8</v>
      </c>
      <c r="L195" s="277">
        <f t="shared" si="112"/>
        <v>3.9609373235460201</v>
      </c>
      <c r="M195" s="277">
        <f t="shared" si="104"/>
        <v>2236.6784352767836</v>
      </c>
      <c r="N195" s="277">
        <f t="shared" si="105"/>
        <v>2042</v>
      </c>
      <c r="O195" s="277">
        <f t="shared" si="110"/>
        <v>3.9609373235460201</v>
      </c>
      <c r="P195" s="1857"/>
      <c r="Q195" s="151">
        <v>6</v>
      </c>
      <c r="R195" s="277">
        <f>$W$40</f>
        <v>1.1590476190476191</v>
      </c>
      <c r="S195" s="277">
        <f t="shared" si="100"/>
        <v>19.16294791281862</v>
      </c>
      <c r="T195" s="277">
        <f t="shared" si="106"/>
        <v>0.89915035094200235</v>
      </c>
      <c r="U195" s="270">
        <f t="shared" si="101"/>
        <v>2.0000000000000001E-10</v>
      </c>
      <c r="V195" s="270">
        <f>18*(10^(-12))</f>
        <v>1.7999999999999999E-11</v>
      </c>
      <c r="W195" s="263">
        <f>U195/V195</f>
        <v>11.111111111111112</v>
      </c>
      <c r="X195" s="263">
        <f>W195*$T$40</f>
        <v>0.33333333333333337</v>
      </c>
      <c r="Y195" s="1492"/>
      <c r="Z195" s="154">
        <f t="shared" si="107"/>
        <v>4.4989351116635917E-8</v>
      </c>
      <c r="AA195" s="277">
        <f t="shared" si="113"/>
        <v>3.1139582156973464</v>
      </c>
      <c r="AB195" s="277">
        <f t="shared" si="108"/>
        <v>2218.5751124717344</v>
      </c>
      <c r="AC195" s="277">
        <f t="shared" si="109"/>
        <v>1851.474797642705</v>
      </c>
      <c r="AD195" s="277">
        <f t="shared" si="111"/>
        <v>3.1139582156973464</v>
      </c>
    </row>
    <row r="196" spans="1:30">
      <c r="A196" s="1857"/>
      <c r="B196" s="269" t="s">
        <v>483</v>
      </c>
      <c r="C196" s="277">
        <f>$C$70+$G$41</f>
        <v>1.5271428571428571</v>
      </c>
      <c r="D196" s="277">
        <v>20</v>
      </c>
      <c r="E196" s="263" t="s">
        <v>24</v>
      </c>
      <c r="F196" s="269">
        <f t="shared" si="99"/>
        <v>2.0000000000000001E-10</v>
      </c>
      <c r="G196" s="269" t="s">
        <v>24</v>
      </c>
      <c r="H196" s="269" t="s">
        <v>24</v>
      </c>
      <c r="I196" s="269" t="s">
        <v>24</v>
      </c>
      <c r="J196" s="269" t="s">
        <v>24</v>
      </c>
      <c r="K196" s="154">
        <f t="shared" si="103"/>
        <v>4.4989351116635917E-8</v>
      </c>
      <c r="L196" s="277">
        <f>L195</f>
        <v>3.9609373235460201</v>
      </c>
      <c r="M196" s="277">
        <f t="shared" si="104"/>
        <v>2336.9511438023419</v>
      </c>
      <c r="N196" s="277">
        <f t="shared" si="105"/>
        <v>2042</v>
      </c>
      <c r="O196" s="277">
        <f>O195+0.1</f>
        <v>4.0609373235460202</v>
      </c>
      <c r="P196" s="1857"/>
      <c r="Q196" s="269" t="s">
        <v>483</v>
      </c>
      <c r="R196" s="277">
        <f>$R$70+$V$41</f>
        <v>1.289047619047619</v>
      </c>
      <c r="S196" s="277">
        <v>20</v>
      </c>
      <c r="T196" s="263" t="s">
        <v>24</v>
      </c>
      <c r="U196" s="269">
        <f t="shared" si="101"/>
        <v>2.0000000000000001E-10</v>
      </c>
      <c r="V196" s="269" t="s">
        <v>24</v>
      </c>
      <c r="W196" s="269" t="s">
        <v>24</v>
      </c>
      <c r="X196" s="269" t="s">
        <v>24</v>
      </c>
      <c r="Y196" s="269" t="s">
        <v>24</v>
      </c>
      <c r="Z196" s="154">
        <f t="shared" si="107"/>
        <v>4.4989351116635917E-8</v>
      </c>
      <c r="AA196" s="277">
        <f>AA195</f>
        <v>3.1139582156973464</v>
      </c>
      <c r="AB196" s="277">
        <f t="shared" si="108"/>
        <v>2336.9511438023419</v>
      </c>
      <c r="AC196" s="277">
        <f t="shared" si="109"/>
        <v>1851.474797642705</v>
      </c>
      <c r="AD196" s="277">
        <f>AD195+0.1</f>
        <v>3.2139582156973465</v>
      </c>
    </row>
    <row r="197" spans="1:30">
      <c r="A197" s="1857"/>
      <c r="B197" s="1866" t="s">
        <v>473</v>
      </c>
      <c r="C197" s="1866"/>
      <c r="D197" s="1866"/>
      <c r="E197" s="1867"/>
      <c r="F197" s="1868" t="s">
        <v>473</v>
      </c>
      <c r="G197" s="1869"/>
      <c r="H197" s="1869"/>
      <c r="I197" s="1869"/>
      <c r="J197" s="1869"/>
      <c r="K197" s="1869"/>
      <c r="L197" s="1869"/>
      <c r="M197" s="1869"/>
      <c r="N197" s="1869"/>
      <c r="O197" s="1870"/>
      <c r="P197" s="1857"/>
      <c r="Q197" s="1866" t="s">
        <v>473</v>
      </c>
      <c r="R197" s="1866"/>
      <c r="S197" s="1866"/>
      <c r="T197" s="1867"/>
      <c r="U197" s="1868" t="s">
        <v>473</v>
      </c>
      <c r="V197" s="1869"/>
      <c r="W197" s="1869"/>
      <c r="X197" s="1869"/>
      <c r="Y197" s="1869"/>
      <c r="Z197" s="1869"/>
      <c r="AA197" s="1869"/>
      <c r="AB197" s="1869"/>
      <c r="AC197" s="1869"/>
      <c r="AD197" s="1870"/>
    </row>
    <row r="198" spans="1:30">
      <c r="A198" s="1857"/>
      <c r="B198" s="1871" t="str">
        <f>IF(E195&gt;$J$16,"Non ha inizio la crescita di muffe","Ha inizio la crescita di muffe")</f>
        <v>Ha inizio la crescita di muffe</v>
      </c>
      <c r="C198" s="1871"/>
      <c r="D198" s="1871"/>
      <c r="E198" s="1872"/>
      <c r="F198" s="1873" t="s">
        <v>487</v>
      </c>
      <c r="G198" s="1871"/>
      <c r="H198" s="1871"/>
      <c r="I198" s="1871"/>
      <c r="J198" s="1871"/>
      <c r="K198" s="1871"/>
      <c r="L198" s="1871"/>
      <c r="M198" s="1871"/>
      <c r="N198" s="1871"/>
      <c r="O198" s="1872"/>
      <c r="P198" s="1857"/>
      <c r="Q198" s="1871" t="str">
        <f>IF(T195&gt;$J$16,"Non ha inizio la crescita di muffe","Ha inizio la crescita di muffe")</f>
        <v>Ha inizio la crescita di muffe</v>
      </c>
      <c r="R198" s="1871"/>
      <c r="S198" s="1871"/>
      <c r="T198" s="1872"/>
      <c r="U198" s="1873" t="s">
        <v>487</v>
      </c>
      <c r="V198" s="1871"/>
      <c r="W198" s="1871"/>
      <c r="X198" s="1871"/>
      <c r="Y198" s="1871"/>
      <c r="Z198" s="1871"/>
      <c r="AA198" s="1871"/>
      <c r="AB198" s="1871"/>
      <c r="AC198" s="1871"/>
      <c r="AD198" s="1872"/>
    </row>
  </sheetData>
  <mergeCells count="262">
    <mergeCell ref="B1:E1"/>
    <mergeCell ref="F1:F3"/>
    <mergeCell ref="G1:K1"/>
    <mergeCell ref="L1:M1"/>
    <mergeCell ref="N1:O1"/>
    <mergeCell ref="B2:E3"/>
    <mergeCell ref="G2:K2"/>
    <mergeCell ref="L2:M2"/>
    <mergeCell ref="N2:O2"/>
    <mergeCell ref="G3:K3"/>
    <mergeCell ref="A9:A10"/>
    <mergeCell ref="D9:D10"/>
    <mergeCell ref="G7:G8"/>
    <mergeCell ref="E7:E8"/>
    <mergeCell ref="H7:H8"/>
    <mergeCell ref="I7:I8"/>
    <mergeCell ref="L3:M3"/>
    <mergeCell ref="N3:O3"/>
    <mergeCell ref="A7:A8"/>
    <mergeCell ref="B7:B8"/>
    <mergeCell ref="C7:C8"/>
    <mergeCell ref="D7:D8"/>
    <mergeCell ref="F7:F8"/>
    <mergeCell ref="J7:J8"/>
    <mergeCell ref="B23:E23"/>
    <mergeCell ref="F23:F25"/>
    <mergeCell ref="G23:K23"/>
    <mergeCell ref="L23:M23"/>
    <mergeCell ref="N23:O23"/>
    <mergeCell ref="B24:E25"/>
    <mergeCell ref="G24:K24"/>
    <mergeCell ref="L24:M24"/>
    <mergeCell ref="N24:O24"/>
    <mergeCell ref="G25:K25"/>
    <mergeCell ref="L25:M25"/>
    <mergeCell ref="N25:O25"/>
    <mergeCell ref="A30:H30"/>
    <mergeCell ref="I30:O39"/>
    <mergeCell ref="A31:A41"/>
    <mergeCell ref="B31:D31"/>
    <mergeCell ref="B32:D33"/>
    <mergeCell ref="B35:C35"/>
    <mergeCell ref="B36:C36"/>
    <mergeCell ref="G31:H31"/>
    <mergeCell ref="B62:B63"/>
    <mergeCell ref="N56:O56"/>
    <mergeCell ref="G57:K57"/>
    <mergeCell ref="L57:M57"/>
    <mergeCell ref="N57:O57"/>
    <mergeCell ref="B60:E61"/>
    <mergeCell ref="B73:E73"/>
    <mergeCell ref="B72:E72"/>
    <mergeCell ref="G55:K55"/>
    <mergeCell ref="L55:M55"/>
    <mergeCell ref="A27:O28"/>
    <mergeCell ref="B37:C37"/>
    <mergeCell ref="B38:C38"/>
    <mergeCell ref="B39:C39"/>
    <mergeCell ref="B40:C40"/>
    <mergeCell ref="B34:C34"/>
    <mergeCell ref="I40:L40"/>
    <mergeCell ref="A60:A73"/>
    <mergeCell ref="J65:J70"/>
    <mergeCell ref="F72:O72"/>
    <mergeCell ref="F73:O73"/>
    <mergeCell ref="F60:O61"/>
    <mergeCell ref="B55:E55"/>
    <mergeCell ref="F55:F57"/>
    <mergeCell ref="B41:C41"/>
    <mergeCell ref="I41:L41"/>
    <mergeCell ref="N55:O55"/>
    <mergeCell ref="B56:E57"/>
    <mergeCell ref="G56:K56"/>
    <mergeCell ref="L56:M56"/>
    <mergeCell ref="A76:A89"/>
    <mergeCell ref="B76:E77"/>
    <mergeCell ref="F76:O77"/>
    <mergeCell ref="B78:B79"/>
    <mergeCell ref="J81:J86"/>
    <mergeCell ref="B88:E88"/>
    <mergeCell ref="F88:O88"/>
    <mergeCell ref="B89:E89"/>
    <mergeCell ref="F89:O89"/>
    <mergeCell ref="B109:E109"/>
    <mergeCell ref="F109:F111"/>
    <mergeCell ref="G109:K109"/>
    <mergeCell ref="L109:M109"/>
    <mergeCell ref="N109:O109"/>
    <mergeCell ref="B110:E111"/>
    <mergeCell ref="G110:K110"/>
    <mergeCell ref="L110:M110"/>
    <mergeCell ref="N110:O110"/>
    <mergeCell ref="G111:K111"/>
    <mergeCell ref="L111:M111"/>
    <mergeCell ref="N111:O111"/>
    <mergeCell ref="A114:A127"/>
    <mergeCell ref="B114:E115"/>
    <mergeCell ref="F114:O115"/>
    <mergeCell ref="B116:B117"/>
    <mergeCell ref="J119:J124"/>
    <mergeCell ref="B126:E126"/>
    <mergeCell ref="F126:O126"/>
    <mergeCell ref="B127:E127"/>
    <mergeCell ref="F127:O127"/>
    <mergeCell ref="A130:A143"/>
    <mergeCell ref="B130:E131"/>
    <mergeCell ref="F130:O131"/>
    <mergeCell ref="B132:B133"/>
    <mergeCell ref="J135:J140"/>
    <mergeCell ref="B142:E142"/>
    <mergeCell ref="F142:O142"/>
    <mergeCell ref="B143:E143"/>
    <mergeCell ref="F143:O143"/>
    <mergeCell ref="B164:E164"/>
    <mergeCell ref="F164:F166"/>
    <mergeCell ref="G164:K164"/>
    <mergeCell ref="L164:M164"/>
    <mergeCell ref="N164:O164"/>
    <mergeCell ref="B165:E166"/>
    <mergeCell ref="G165:K165"/>
    <mergeCell ref="L165:M165"/>
    <mergeCell ref="N165:O165"/>
    <mergeCell ref="G166:K166"/>
    <mergeCell ref="L166:M166"/>
    <mergeCell ref="N166:O166"/>
    <mergeCell ref="A169:A182"/>
    <mergeCell ref="B169:E170"/>
    <mergeCell ref="F169:O170"/>
    <mergeCell ref="B171:B172"/>
    <mergeCell ref="J174:J179"/>
    <mergeCell ref="B181:E181"/>
    <mergeCell ref="F181:O181"/>
    <mergeCell ref="B182:E182"/>
    <mergeCell ref="F182:O182"/>
    <mergeCell ref="A185:A198"/>
    <mergeCell ref="B185:E186"/>
    <mergeCell ref="F185:O186"/>
    <mergeCell ref="B187:B188"/>
    <mergeCell ref="J190:J195"/>
    <mergeCell ref="B197:E197"/>
    <mergeCell ref="F197:O197"/>
    <mergeCell ref="B198:E198"/>
    <mergeCell ref="F198:O198"/>
    <mergeCell ref="Q23:T23"/>
    <mergeCell ref="U23:U25"/>
    <mergeCell ref="V23:Z23"/>
    <mergeCell ref="AA23:AB23"/>
    <mergeCell ref="AC23:AD23"/>
    <mergeCell ref="Q24:T25"/>
    <mergeCell ref="V24:Z24"/>
    <mergeCell ref="AA24:AB24"/>
    <mergeCell ref="AC24:AD24"/>
    <mergeCell ref="V25:Z25"/>
    <mergeCell ref="AA25:AB25"/>
    <mergeCell ref="AC25:AD25"/>
    <mergeCell ref="P30:W30"/>
    <mergeCell ref="X30:AD39"/>
    <mergeCell ref="P31:P41"/>
    <mergeCell ref="Q31:S31"/>
    <mergeCell ref="Q32:S33"/>
    <mergeCell ref="Q35:R35"/>
    <mergeCell ref="Q36:R36"/>
    <mergeCell ref="V31:W31"/>
    <mergeCell ref="Q55:T55"/>
    <mergeCell ref="U55:U57"/>
    <mergeCell ref="V55:Z55"/>
    <mergeCell ref="AA55:AB55"/>
    <mergeCell ref="Q37:R37"/>
    <mergeCell ref="Q38:R38"/>
    <mergeCell ref="Q39:R39"/>
    <mergeCell ref="Q40:R40"/>
    <mergeCell ref="Q34:R34"/>
    <mergeCell ref="X40:AA40"/>
    <mergeCell ref="AC55:AD55"/>
    <mergeCell ref="Q56:T57"/>
    <mergeCell ref="V56:Z56"/>
    <mergeCell ref="AA56:AB56"/>
    <mergeCell ref="AC56:AD56"/>
    <mergeCell ref="V57:Z57"/>
    <mergeCell ref="AA57:AB57"/>
    <mergeCell ref="AC57:AD57"/>
    <mergeCell ref="Q41:R41"/>
    <mergeCell ref="X41:AA41"/>
    <mergeCell ref="P60:P73"/>
    <mergeCell ref="Q60:T61"/>
    <mergeCell ref="U60:AD61"/>
    <mergeCell ref="Q62:Q63"/>
    <mergeCell ref="Y65:Y70"/>
    <mergeCell ref="Q72:T72"/>
    <mergeCell ref="U72:AD72"/>
    <mergeCell ref="Q73:T73"/>
    <mergeCell ref="U73:AD73"/>
    <mergeCell ref="P76:P89"/>
    <mergeCell ref="Q76:T77"/>
    <mergeCell ref="U76:AD77"/>
    <mergeCell ref="Q78:Q79"/>
    <mergeCell ref="Y81:Y86"/>
    <mergeCell ref="Q88:T88"/>
    <mergeCell ref="U88:AD88"/>
    <mergeCell ref="Q89:T89"/>
    <mergeCell ref="U89:AD89"/>
    <mergeCell ref="Q109:T109"/>
    <mergeCell ref="U109:U111"/>
    <mergeCell ref="V109:Z109"/>
    <mergeCell ref="AA109:AB109"/>
    <mergeCell ref="AC109:AD109"/>
    <mergeCell ref="Q110:T111"/>
    <mergeCell ref="V110:Z110"/>
    <mergeCell ref="AA110:AB110"/>
    <mergeCell ref="AC110:AD110"/>
    <mergeCell ref="V111:Z111"/>
    <mergeCell ref="AA111:AB111"/>
    <mergeCell ref="AC111:AD111"/>
    <mergeCell ref="U130:AD131"/>
    <mergeCell ref="Q132:Q133"/>
    <mergeCell ref="Y135:Y140"/>
    <mergeCell ref="Q142:T142"/>
    <mergeCell ref="U142:AD142"/>
    <mergeCell ref="Q143:T143"/>
    <mergeCell ref="U143:AD143"/>
    <mergeCell ref="P114:P127"/>
    <mergeCell ref="Q114:T115"/>
    <mergeCell ref="U114:AD115"/>
    <mergeCell ref="Q116:Q117"/>
    <mergeCell ref="Y119:Y124"/>
    <mergeCell ref="Q126:T126"/>
    <mergeCell ref="U126:AD126"/>
    <mergeCell ref="Q127:T127"/>
    <mergeCell ref="U127:AD127"/>
    <mergeCell ref="AC164:AD164"/>
    <mergeCell ref="Q165:T166"/>
    <mergeCell ref="V165:Z165"/>
    <mergeCell ref="AA165:AB165"/>
    <mergeCell ref="AC165:AD165"/>
    <mergeCell ref="V166:Z166"/>
    <mergeCell ref="AA164:AB164"/>
    <mergeCell ref="P27:AD28"/>
    <mergeCell ref="U182:AD182"/>
    <mergeCell ref="AA166:AB166"/>
    <mergeCell ref="AC166:AD166"/>
    <mergeCell ref="P169:P182"/>
    <mergeCell ref="Q169:T170"/>
    <mergeCell ref="U169:AD170"/>
    <mergeCell ref="Q171:Q172"/>
    <mergeCell ref="Y174:Y179"/>
    <mergeCell ref="Q181:T181"/>
    <mergeCell ref="U181:AD181"/>
    <mergeCell ref="Q182:T182"/>
    <mergeCell ref="Q164:T164"/>
    <mergeCell ref="U164:U166"/>
    <mergeCell ref="V164:Z164"/>
    <mergeCell ref="P130:P143"/>
    <mergeCell ref="Q130:T131"/>
    <mergeCell ref="P185:P198"/>
    <mergeCell ref="Q185:T186"/>
    <mergeCell ref="U185:AD186"/>
    <mergeCell ref="Q187:Q188"/>
    <mergeCell ref="Y190:Y195"/>
    <mergeCell ref="Q197:T197"/>
    <mergeCell ref="U197:AD197"/>
    <mergeCell ref="Q198:T198"/>
    <mergeCell ref="U198:AD198"/>
  </mergeCells>
  <printOptions horizontalCentered="1"/>
  <pageMargins left="0.39370078740157483" right="0.39370078740157483" top="0.39370078740157483" bottom="0.39370078740157483" header="0.11811023622047245" footer="0.11811023622047245"/>
  <pageSetup paperSize="9" scale="67" orientation="landscape" horizontalDpi="360" verticalDpi="360"/>
  <rowBreaks count="3" manualBreakCount="3">
    <brk id="22" max="16383" man="1"/>
    <brk id="54" max="16383" man="1"/>
    <brk id="108" max="16383" man="1"/>
  </rowBreaks>
  <colBreaks count="1" manualBreakCount="1">
    <brk id="15" max="1048575" man="1"/>
  </colBreaks>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9"/>
  <sheetViews>
    <sheetView topLeftCell="B1" zoomScale="85" zoomScaleNormal="85" zoomScalePageLayoutView="85" workbookViewId="0">
      <selection activeCell="J13" sqref="J13"/>
    </sheetView>
  </sheetViews>
  <sheetFormatPr baseColWidth="10" defaultColWidth="8.83203125" defaultRowHeight="15"/>
  <cols>
    <col min="1" max="19" width="12.6640625" style="50" customWidth="1"/>
  </cols>
  <sheetData>
    <row r="1" spans="1:15">
      <c r="A1" s="278" t="s">
        <v>0</v>
      </c>
      <c r="B1" s="1620" t="s">
        <v>566</v>
      </c>
      <c r="C1" s="1621"/>
      <c r="D1" s="1621"/>
      <c r="E1" s="1622"/>
      <c r="F1" s="1508"/>
      <c r="G1" s="1402" t="s">
        <v>567</v>
      </c>
      <c r="H1" s="1403"/>
      <c r="I1" s="1403"/>
      <c r="J1" s="1403"/>
      <c r="K1" s="1404"/>
      <c r="L1" s="1352" t="s">
        <v>5</v>
      </c>
      <c r="M1" s="1353"/>
      <c r="N1" s="1352" t="s">
        <v>6</v>
      </c>
      <c r="O1" s="1353"/>
    </row>
    <row r="2" spans="1:15" ht="24">
      <c r="A2" s="47">
        <v>15</v>
      </c>
      <c r="B2" s="1511" t="s">
        <v>491</v>
      </c>
      <c r="C2" s="1512"/>
      <c r="D2" s="1512"/>
      <c r="E2" s="1513"/>
      <c r="F2" s="1509"/>
      <c r="G2" s="1414" t="s">
        <v>568</v>
      </c>
      <c r="H2" s="1415"/>
      <c r="I2" s="1415"/>
      <c r="J2" s="1415"/>
      <c r="K2" s="1416"/>
      <c r="L2" s="1391" t="s">
        <v>569</v>
      </c>
      <c r="M2" s="1392"/>
      <c r="N2" s="1391"/>
      <c r="O2" s="1392"/>
    </row>
    <row r="3" spans="1:15">
      <c r="A3" s="48" t="s">
        <v>62</v>
      </c>
      <c r="B3" s="1514"/>
      <c r="C3" s="1515"/>
      <c r="D3" s="1515"/>
      <c r="E3" s="1516"/>
      <c r="F3" s="1510"/>
      <c r="G3" s="1542" t="s">
        <v>572</v>
      </c>
      <c r="H3" s="1543"/>
      <c r="I3" s="1543"/>
      <c r="J3" s="1543"/>
      <c r="K3" s="1544"/>
      <c r="L3" s="1357" t="s">
        <v>570</v>
      </c>
      <c r="M3" s="1358"/>
      <c r="N3" s="1357"/>
      <c r="O3" s="1358"/>
    </row>
    <row r="4" spans="1:15">
      <c r="A4" s="33"/>
      <c r="B4" s="299"/>
      <c r="C4" s="299"/>
      <c r="D4" s="299"/>
      <c r="E4" s="299"/>
      <c r="F4" s="53"/>
      <c r="G4" s="36"/>
      <c r="H4" s="36"/>
      <c r="I4" s="36"/>
      <c r="J4" s="36"/>
      <c r="K4" s="36"/>
      <c r="L4" s="37"/>
      <c r="M4" s="37"/>
      <c r="N4" s="37"/>
      <c r="O4" s="37"/>
    </row>
    <row r="5" spans="1:15">
      <c r="A5" s="33"/>
      <c r="B5" s="299"/>
      <c r="C5" s="299"/>
      <c r="D5" s="299"/>
      <c r="E5" s="299"/>
      <c r="F5" s="53"/>
      <c r="G5" s="36"/>
      <c r="H5" s="36"/>
      <c r="I5" s="36"/>
      <c r="J5" s="36"/>
      <c r="K5" s="36"/>
      <c r="L5" s="37"/>
      <c r="M5" s="37"/>
      <c r="N5" s="37"/>
      <c r="O5" s="37"/>
    </row>
    <row r="6" spans="1:15" ht="16">
      <c r="A6" s="1905" t="s">
        <v>505</v>
      </c>
      <c r="B6" s="1906"/>
      <c r="C6" s="1906"/>
      <c r="D6" s="1906"/>
      <c r="E6" s="1906"/>
      <c r="F6" s="1906"/>
      <c r="G6" s="1907"/>
    </row>
    <row r="7" spans="1:15">
      <c r="A7" s="1908" t="s">
        <v>492</v>
      </c>
      <c r="B7" s="1910" t="s">
        <v>504</v>
      </c>
      <c r="C7" s="1911"/>
      <c r="D7" s="1911"/>
      <c r="E7" s="1911"/>
      <c r="F7" s="1911"/>
      <c r="G7" s="1912"/>
    </row>
    <row r="8" spans="1:15">
      <c r="A8" s="1909"/>
      <c r="B8" s="1908" t="s">
        <v>493</v>
      </c>
      <c r="C8" s="1908"/>
      <c r="D8" s="312" t="s">
        <v>172</v>
      </c>
      <c r="E8" s="312" t="s">
        <v>525</v>
      </c>
      <c r="F8" s="312" t="s">
        <v>496</v>
      </c>
      <c r="G8" s="312" t="s">
        <v>59</v>
      </c>
      <c r="H8" s="157"/>
      <c r="I8" s="157"/>
      <c r="J8" s="157"/>
      <c r="K8" s="157"/>
      <c r="L8" s="157"/>
    </row>
    <row r="9" spans="1:15">
      <c r="A9" s="306" t="s">
        <v>24</v>
      </c>
      <c r="B9" s="1551" t="s">
        <v>500</v>
      </c>
      <c r="C9" s="1532"/>
      <c r="D9" s="313" t="s">
        <v>42</v>
      </c>
      <c r="E9" s="314" t="s">
        <v>425</v>
      </c>
      <c r="F9" s="313" t="s">
        <v>424</v>
      </c>
      <c r="G9" s="314" t="s">
        <v>41</v>
      </c>
      <c r="H9" s="157"/>
      <c r="I9" s="157"/>
      <c r="J9" s="157"/>
      <c r="K9" s="157"/>
      <c r="L9" s="157"/>
    </row>
    <row r="10" spans="1:15">
      <c r="A10" s="61" t="s">
        <v>483</v>
      </c>
      <c r="B10" s="1903" t="s">
        <v>24</v>
      </c>
      <c r="C10" s="1903"/>
      <c r="D10" s="304" t="s">
        <v>498</v>
      </c>
      <c r="E10" s="304" t="s">
        <v>497</v>
      </c>
      <c r="F10" s="304" t="s">
        <v>499</v>
      </c>
      <c r="G10" s="304" t="s">
        <v>31</v>
      </c>
      <c r="H10" s="296"/>
      <c r="I10" s="297"/>
      <c r="J10" s="295"/>
    </row>
    <row r="11" spans="1:15">
      <c r="A11" s="269">
        <v>1</v>
      </c>
      <c r="B11" s="1904" t="s">
        <v>502</v>
      </c>
      <c r="C11" s="1904"/>
      <c r="D11" s="303">
        <v>0.7</v>
      </c>
      <c r="E11" s="298">
        <v>1000</v>
      </c>
      <c r="F11" s="298">
        <v>1500</v>
      </c>
      <c r="G11" s="303">
        <v>0.03</v>
      </c>
      <c r="H11" s="86"/>
    </row>
    <row r="12" spans="1:15">
      <c r="A12" s="269">
        <v>2</v>
      </c>
      <c r="B12" s="1897" t="s">
        <v>51</v>
      </c>
      <c r="C12" s="1897"/>
      <c r="D12" s="300">
        <v>0.63</v>
      </c>
      <c r="E12" s="301">
        <v>840</v>
      </c>
      <c r="F12" s="301">
        <v>600</v>
      </c>
      <c r="G12" s="300">
        <v>0.45</v>
      </c>
      <c r="H12" s="86"/>
    </row>
    <row r="13" spans="1:15">
      <c r="A13" s="269">
        <v>3</v>
      </c>
      <c r="B13" s="1897" t="s">
        <v>68</v>
      </c>
      <c r="C13" s="1897"/>
      <c r="D13" s="300" t="s">
        <v>24</v>
      </c>
      <c r="E13" s="301" t="s">
        <v>24</v>
      </c>
      <c r="F13" s="301" t="s">
        <v>24</v>
      </c>
      <c r="G13" s="300">
        <v>1.4999999999999999E-2</v>
      </c>
      <c r="H13" s="86"/>
    </row>
    <row r="14" spans="1:15">
      <c r="A14" s="269">
        <v>4</v>
      </c>
      <c r="B14" s="1897" t="s">
        <v>50</v>
      </c>
      <c r="C14" s="1897"/>
      <c r="D14" s="130" t="s">
        <v>24</v>
      </c>
      <c r="E14" s="130" t="s">
        <v>24</v>
      </c>
      <c r="F14" s="130" t="s">
        <v>24</v>
      </c>
      <c r="G14" s="230">
        <v>0.04</v>
      </c>
      <c r="H14" s="86"/>
    </row>
    <row r="15" spans="1:15">
      <c r="A15" s="269">
        <v>5</v>
      </c>
      <c r="B15" s="1897" t="s">
        <v>68</v>
      </c>
      <c r="C15" s="1897"/>
      <c r="D15" s="300" t="s">
        <v>24</v>
      </c>
      <c r="E15" s="301" t="s">
        <v>24</v>
      </c>
      <c r="F15" s="301" t="s">
        <v>24</v>
      </c>
      <c r="G15" s="302">
        <v>1.4999999999999999E-2</v>
      </c>
      <c r="H15" s="86"/>
    </row>
    <row r="16" spans="1:15">
      <c r="A16" s="269">
        <v>6</v>
      </c>
      <c r="B16" s="1897" t="s">
        <v>501</v>
      </c>
      <c r="C16" s="1897"/>
      <c r="D16" s="300">
        <v>0.78</v>
      </c>
      <c r="E16" s="301">
        <v>940</v>
      </c>
      <c r="F16" s="301">
        <v>1700</v>
      </c>
      <c r="G16" s="300">
        <v>0.12</v>
      </c>
      <c r="H16" s="86"/>
    </row>
    <row r="17" spans="1:15">
      <c r="A17" s="61" t="s">
        <v>472</v>
      </c>
      <c r="B17" s="1900"/>
      <c r="C17" s="1901"/>
      <c r="D17" s="1901"/>
      <c r="E17" s="1901"/>
      <c r="F17" s="1901"/>
      <c r="G17" s="1902"/>
      <c r="H17" s="86"/>
    </row>
    <row r="18" spans="1:15">
      <c r="A18" s="86"/>
      <c r="B18" s="1898" t="s">
        <v>503</v>
      </c>
      <c r="C18" s="1898"/>
      <c r="D18" s="1898"/>
      <c r="E18" s="1898"/>
      <c r="F18" s="1898"/>
      <c r="G18" s="230">
        <f>SUM(G11:G16)</f>
        <v>0.67</v>
      </c>
      <c r="H18" s="86"/>
    </row>
    <row r="19" spans="1:15">
      <c r="A19" s="86"/>
      <c r="B19" s="86"/>
      <c r="C19" s="86"/>
      <c r="D19" s="86"/>
      <c r="E19" s="86"/>
      <c r="F19" s="86"/>
      <c r="G19" s="86"/>
      <c r="H19" s="86"/>
    </row>
    <row r="20" spans="1:15">
      <c r="A20" s="1899" t="s">
        <v>511</v>
      </c>
      <c r="B20" s="1898" t="s">
        <v>512</v>
      </c>
      <c r="C20" s="1898"/>
      <c r="D20" s="1898"/>
      <c r="E20" s="1898"/>
      <c r="F20" s="305" t="s">
        <v>24</v>
      </c>
      <c r="G20" s="230">
        <v>0.17803877994936143</v>
      </c>
      <c r="H20" s="86"/>
    </row>
    <row r="21" spans="1:15">
      <c r="A21" s="1899"/>
      <c r="B21" s="1898" t="s">
        <v>513</v>
      </c>
      <c r="C21" s="1898"/>
      <c r="D21" s="1898"/>
      <c r="E21" s="1898"/>
      <c r="F21" s="305" t="s">
        <v>217</v>
      </c>
      <c r="G21" s="230">
        <v>-14.343054030767101</v>
      </c>
      <c r="H21" s="86"/>
    </row>
    <row r="22" spans="1:15" ht="16">
      <c r="A22" s="1899"/>
      <c r="B22" s="1898" t="s">
        <v>506</v>
      </c>
      <c r="C22" s="1898"/>
      <c r="D22" s="1898"/>
      <c r="E22" s="1898"/>
      <c r="F22" s="305" t="s">
        <v>514</v>
      </c>
      <c r="G22" s="230">
        <v>55.30035244456824</v>
      </c>
      <c r="H22" s="86"/>
      <c r="I22" s="1408" t="s">
        <v>521</v>
      </c>
      <c r="J22" s="1702"/>
      <c r="K22" s="1702"/>
      <c r="L22" s="1702"/>
      <c r="M22" s="1702"/>
      <c r="N22" s="1702"/>
      <c r="O22" s="1409"/>
    </row>
    <row r="23" spans="1:15" ht="16">
      <c r="A23" s="1899"/>
      <c r="B23" s="1898" t="s">
        <v>507</v>
      </c>
      <c r="C23" s="1898"/>
      <c r="D23" s="1898"/>
      <c r="E23" s="1898"/>
      <c r="F23" s="305" t="s">
        <v>514</v>
      </c>
      <c r="G23" s="230">
        <v>106.87471017708359</v>
      </c>
      <c r="H23" s="86"/>
      <c r="I23" s="1385"/>
      <c r="J23" s="1386"/>
      <c r="K23" s="1386"/>
      <c r="L23" s="1386"/>
      <c r="M23" s="1386"/>
      <c r="N23" s="1386"/>
      <c r="O23" s="1387"/>
    </row>
    <row r="24" spans="1:15" ht="16">
      <c r="A24" s="1899"/>
      <c r="B24" s="1893" t="s">
        <v>508</v>
      </c>
      <c r="C24" s="1893"/>
      <c r="D24" s="1893"/>
      <c r="E24" s="1893"/>
      <c r="F24" s="315" t="s">
        <v>515</v>
      </c>
      <c r="G24" s="229">
        <v>0.11650747141803459</v>
      </c>
      <c r="H24" s="86"/>
      <c r="I24" s="1894" t="s">
        <v>519</v>
      </c>
      <c r="J24" s="1895"/>
      <c r="K24" s="1895"/>
      <c r="L24" s="1895"/>
      <c r="M24" s="1895"/>
      <c r="N24" s="1895"/>
      <c r="O24" s="1896"/>
    </row>
    <row r="25" spans="1:15" ht="16">
      <c r="A25" s="1899"/>
      <c r="B25" s="1898" t="s">
        <v>509</v>
      </c>
      <c r="C25" s="1898"/>
      <c r="D25" s="1898"/>
      <c r="E25" s="1898"/>
      <c r="F25" s="305" t="s">
        <v>516</v>
      </c>
      <c r="G25" s="230">
        <v>3.9711176610140813</v>
      </c>
      <c r="H25" s="86"/>
    </row>
    <row r="26" spans="1:15" ht="16">
      <c r="A26" s="1899"/>
      <c r="B26" s="1898" t="s">
        <v>510</v>
      </c>
      <c r="C26" s="1898"/>
      <c r="D26" s="1898"/>
      <c r="E26" s="1898"/>
      <c r="F26" s="305" t="s">
        <v>516</v>
      </c>
      <c r="G26" s="230">
        <v>7.7386069565432507</v>
      </c>
      <c r="H26" s="86"/>
      <c r="I26" s="1408" t="s">
        <v>520</v>
      </c>
      <c r="J26" s="1702"/>
      <c r="K26" s="1702"/>
      <c r="L26" s="1702"/>
      <c r="M26" s="1702"/>
      <c r="N26" s="1702"/>
      <c r="O26" s="1409"/>
    </row>
    <row r="27" spans="1:15">
      <c r="A27" s="86"/>
      <c r="B27" s="86"/>
      <c r="C27" s="86"/>
      <c r="D27" s="86"/>
      <c r="E27" s="86"/>
      <c r="F27" s="86"/>
      <c r="G27" s="86"/>
      <c r="H27" s="86"/>
      <c r="I27" s="1385"/>
      <c r="J27" s="1386"/>
      <c r="K27" s="1386"/>
      <c r="L27" s="1386"/>
      <c r="M27" s="1386"/>
      <c r="N27" s="1386"/>
      <c r="O27" s="1387"/>
    </row>
    <row r="28" spans="1:15">
      <c r="A28" s="86"/>
      <c r="B28" s="1893" t="s">
        <v>517</v>
      </c>
      <c r="C28" s="1893"/>
      <c r="D28" s="1893"/>
      <c r="E28" s="1893"/>
      <c r="F28" s="316" t="s">
        <v>518</v>
      </c>
      <c r="G28" s="311">
        <v>519</v>
      </c>
      <c r="H28" s="86"/>
      <c r="I28" s="1894" t="s">
        <v>519</v>
      </c>
      <c r="J28" s="1895"/>
      <c r="K28" s="1895"/>
      <c r="L28" s="1895"/>
      <c r="M28" s="1895"/>
      <c r="N28" s="1895"/>
      <c r="O28" s="1896"/>
    </row>
    <row r="29" spans="1:15">
      <c r="A29" s="86"/>
      <c r="B29" s="86"/>
      <c r="C29" s="86"/>
      <c r="D29" s="86"/>
      <c r="E29" s="86"/>
      <c r="F29" s="86"/>
      <c r="G29" s="86"/>
      <c r="H29" s="86"/>
    </row>
    <row r="30" spans="1:15">
      <c r="A30" s="86"/>
      <c r="B30" s="86"/>
      <c r="C30" s="86"/>
      <c r="D30" s="86"/>
      <c r="E30" s="86"/>
      <c r="F30" s="86"/>
      <c r="G30" s="86"/>
      <c r="H30" s="86"/>
    </row>
    <row r="31" spans="1:15">
      <c r="A31" s="86"/>
      <c r="B31" s="86"/>
      <c r="C31" s="86"/>
      <c r="D31" s="86"/>
      <c r="E31" s="86"/>
      <c r="F31" s="86"/>
      <c r="G31" s="86"/>
      <c r="H31" s="86"/>
    </row>
    <row r="32" spans="1:15">
      <c r="A32" s="308" t="s">
        <v>0</v>
      </c>
      <c r="B32" s="1620" t="s">
        <v>566</v>
      </c>
      <c r="C32" s="1621"/>
      <c r="D32" s="1621"/>
      <c r="E32" s="1622"/>
      <c r="F32" s="1508"/>
      <c r="G32" s="1402" t="s">
        <v>567</v>
      </c>
      <c r="H32" s="1403"/>
      <c r="I32" s="1403"/>
      <c r="J32" s="1403"/>
      <c r="K32" s="1404"/>
      <c r="L32" s="1352" t="s">
        <v>5</v>
      </c>
      <c r="M32" s="1353"/>
      <c r="N32" s="1352" t="s">
        <v>6</v>
      </c>
      <c r="O32" s="1353"/>
    </row>
    <row r="33" spans="1:15" ht="23.5" customHeight="1">
      <c r="A33" s="47">
        <v>15</v>
      </c>
      <c r="B33" s="1511" t="s">
        <v>491</v>
      </c>
      <c r="C33" s="1512"/>
      <c r="D33" s="1512"/>
      <c r="E33" s="1513"/>
      <c r="F33" s="1509"/>
      <c r="G33" s="1414" t="s">
        <v>568</v>
      </c>
      <c r="H33" s="1415"/>
      <c r="I33" s="1415"/>
      <c r="J33" s="1415"/>
      <c r="K33" s="1416"/>
      <c r="L33" s="1391" t="s">
        <v>569</v>
      </c>
      <c r="M33" s="1392"/>
      <c r="N33" s="1391"/>
      <c r="O33" s="1392"/>
    </row>
    <row r="34" spans="1:15">
      <c r="A34" s="48" t="s">
        <v>63</v>
      </c>
      <c r="B34" s="1514"/>
      <c r="C34" s="1515"/>
      <c r="D34" s="1515"/>
      <c r="E34" s="1516"/>
      <c r="F34" s="1510"/>
      <c r="G34" s="1542" t="s">
        <v>572</v>
      </c>
      <c r="H34" s="1543"/>
      <c r="I34" s="1543"/>
      <c r="J34" s="1543"/>
      <c r="K34" s="1544"/>
      <c r="L34" s="1357" t="s">
        <v>570</v>
      </c>
      <c r="M34" s="1358"/>
      <c r="N34" s="1357"/>
      <c r="O34" s="1358"/>
    </row>
    <row r="35" spans="1:15">
      <c r="A35" s="86"/>
      <c r="B35" s="86"/>
      <c r="C35" s="86"/>
      <c r="D35" s="86"/>
      <c r="E35" s="86"/>
      <c r="F35" s="86"/>
      <c r="G35" s="86"/>
      <c r="H35" s="86"/>
    </row>
    <row r="36" spans="1:15">
      <c r="A36" s="86"/>
      <c r="B36" s="86"/>
      <c r="C36" s="86"/>
      <c r="D36" s="86"/>
      <c r="E36" s="86"/>
      <c r="F36" s="86"/>
      <c r="G36" s="86"/>
      <c r="H36" s="86"/>
    </row>
    <row r="37" spans="1:15" ht="16">
      <c r="A37" s="1905" t="s">
        <v>523</v>
      </c>
      <c r="B37" s="1906"/>
      <c r="C37" s="1906"/>
      <c r="D37" s="1906"/>
      <c r="E37" s="1906"/>
      <c r="F37" s="1906"/>
      <c r="G37" s="1907"/>
    </row>
    <row r="38" spans="1:15">
      <c r="A38" s="1908" t="s">
        <v>492</v>
      </c>
      <c r="B38" s="1910" t="s">
        <v>504</v>
      </c>
      <c r="C38" s="1911"/>
      <c r="D38" s="1911"/>
      <c r="E38" s="1911"/>
      <c r="F38" s="1911"/>
      <c r="G38" s="1912"/>
    </row>
    <row r="39" spans="1:15">
      <c r="A39" s="1909"/>
      <c r="B39" s="1908" t="s">
        <v>493</v>
      </c>
      <c r="C39" s="1908"/>
      <c r="D39" s="312" t="s">
        <v>494</v>
      </c>
      <c r="E39" s="312" t="s">
        <v>495</v>
      </c>
      <c r="F39" s="312" t="s">
        <v>496</v>
      </c>
      <c r="G39" s="312" t="s">
        <v>59</v>
      </c>
    </row>
    <row r="40" spans="1:15">
      <c r="A40" s="306" t="s">
        <v>24</v>
      </c>
      <c r="B40" s="1551" t="s">
        <v>500</v>
      </c>
      <c r="C40" s="1532"/>
      <c r="D40" s="313" t="s">
        <v>42</v>
      </c>
      <c r="E40" s="314" t="s">
        <v>425</v>
      </c>
      <c r="F40" s="313" t="s">
        <v>424</v>
      </c>
      <c r="G40" s="314" t="s">
        <v>41</v>
      </c>
    </row>
    <row r="41" spans="1:15">
      <c r="A41" s="310" t="s">
        <v>483</v>
      </c>
      <c r="B41" s="1903" t="s">
        <v>24</v>
      </c>
      <c r="C41" s="1903"/>
      <c r="D41" s="304" t="s">
        <v>498</v>
      </c>
      <c r="E41" s="304" t="s">
        <v>497</v>
      </c>
      <c r="F41" s="304" t="s">
        <v>499</v>
      </c>
      <c r="G41" s="304" t="s">
        <v>31</v>
      </c>
    </row>
    <row r="42" spans="1:15">
      <c r="A42" s="307">
        <v>1</v>
      </c>
      <c r="B42" s="1904" t="s">
        <v>502</v>
      </c>
      <c r="C42" s="1904"/>
      <c r="D42" s="303">
        <v>0.7</v>
      </c>
      <c r="E42" s="298">
        <v>1000</v>
      </c>
      <c r="F42" s="298">
        <v>1500</v>
      </c>
      <c r="G42" s="303">
        <v>0.03</v>
      </c>
    </row>
    <row r="43" spans="1:15">
      <c r="A43" s="307">
        <v>2</v>
      </c>
      <c r="B43" s="1897" t="s">
        <v>51</v>
      </c>
      <c r="C43" s="1897"/>
      <c r="D43" s="300">
        <v>0.63</v>
      </c>
      <c r="E43" s="301">
        <v>840</v>
      </c>
      <c r="F43" s="301">
        <v>600</v>
      </c>
      <c r="G43" s="300">
        <v>0.3</v>
      </c>
    </row>
    <row r="44" spans="1:15">
      <c r="A44" s="307">
        <v>3</v>
      </c>
      <c r="B44" s="1897" t="s">
        <v>68</v>
      </c>
      <c r="C44" s="1897"/>
      <c r="D44" s="300" t="s">
        <v>24</v>
      </c>
      <c r="E44" s="301" t="s">
        <v>24</v>
      </c>
      <c r="F44" s="301" t="s">
        <v>24</v>
      </c>
      <c r="G44" s="300">
        <v>1.4999999999999999E-2</v>
      </c>
    </row>
    <row r="45" spans="1:15">
      <c r="A45" s="307">
        <v>4</v>
      </c>
      <c r="B45" s="1897" t="s">
        <v>50</v>
      </c>
      <c r="C45" s="1897"/>
      <c r="D45" s="130" t="s">
        <v>24</v>
      </c>
      <c r="E45" s="130" t="s">
        <v>24</v>
      </c>
      <c r="F45" s="130" t="s">
        <v>24</v>
      </c>
      <c r="G45" s="230">
        <v>0.04</v>
      </c>
    </row>
    <row r="46" spans="1:15">
      <c r="A46" s="307">
        <v>5</v>
      </c>
      <c r="B46" s="1897" t="s">
        <v>68</v>
      </c>
      <c r="C46" s="1897"/>
      <c r="D46" s="300" t="s">
        <v>24</v>
      </c>
      <c r="E46" s="301" t="s">
        <v>24</v>
      </c>
      <c r="F46" s="301" t="s">
        <v>24</v>
      </c>
      <c r="G46" s="302">
        <v>1.4999999999999999E-2</v>
      </c>
    </row>
    <row r="47" spans="1:15">
      <c r="A47" s="307">
        <v>6</v>
      </c>
      <c r="B47" s="1897" t="s">
        <v>501</v>
      </c>
      <c r="C47" s="1897"/>
      <c r="D47" s="300">
        <v>0.78</v>
      </c>
      <c r="E47" s="301">
        <v>940</v>
      </c>
      <c r="F47" s="301">
        <v>1700</v>
      </c>
      <c r="G47" s="300">
        <v>0.12</v>
      </c>
    </row>
    <row r="48" spans="1:15">
      <c r="A48" s="310" t="s">
        <v>472</v>
      </c>
      <c r="B48" s="1900"/>
      <c r="C48" s="1901"/>
      <c r="D48" s="1901"/>
      <c r="E48" s="1901"/>
      <c r="F48" s="1901"/>
      <c r="G48" s="1902"/>
    </row>
    <row r="49" spans="1:15">
      <c r="B49" s="1898" t="s">
        <v>503</v>
      </c>
      <c r="C49" s="1898"/>
      <c r="D49" s="1898"/>
      <c r="E49" s="1898"/>
      <c r="F49" s="1898"/>
      <c r="G49" s="230">
        <f>SUM(G42:G47)</f>
        <v>0.52</v>
      </c>
    </row>
    <row r="51" spans="1:15">
      <c r="A51" s="1899" t="s">
        <v>511</v>
      </c>
      <c r="B51" s="1898" t="s">
        <v>512</v>
      </c>
      <c r="C51" s="1898"/>
      <c r="D51" s="1898"/>
      <c r="E51" s="1898"/>
      <c r="F51" s="305" t="s">
        <v>24</v>
      </c>
      <c r="G51" s="230">
        <v>0.33842853428581499</v>
      </c>
    </row>
    <row r="52" spans="1:15">
      <c r="A52" s="1899"/>
      <c r="B52" s="1898" t="s">
        <v>513</v>
      </c>
      <c r="C52" s="1898"/>
      <c r="D52" s="1898"/>
      <c r="E52" s="1898"/>
      <c r="F52" s="305" t="s">
        <v>217</v>
      </c>
      <c r="G52" s="230">
        <v>-11.250344368040638</v>
      </c>
    </row>
    <row r="53" spans="1:15" ht="16">
      <c r="A53" s="1899"/>
      <c r="B53" s="1898" t="s">
        <v>506</v>
      </c>
      <c r="C53" s="1898"/>
      <c r="D53" s="1898"/>
      <c r="E53" s="1898"/>
      <c r="F53" s="305" t="s">
        <v>514</v>
      </c>
      <c r="G53" s="230">
        <v>58.450069956656392</v>
      </c>
      <c r="I53" s="1408" t="s">
        <v>521</v>
      </c>
      <c r="J53" s="1702"/>
      <c r="K53" s="1702"/>
      <c r="L53" s="1702"/>
      <c r="M53" s="1702"/>
      <c r="N53" s="1702"/>
      <c r="O53" s="1409"/>
    </row>
    <row r="54" spans="1:15" ht="16">
      <c r="A54" s="1899"/>
      <c r="B54" s="1898" t="s">
        <v>507</v>
      </c>
      <c r="C54" s="1898"/>
      <c r="D54" s="1898"/>
      <c r="E54" s="1898"/>
      <c r="F54" s="305" t="s">
        <v>514</v>
      </c>
      <c r="G54" s="230">
        <v>109.70811429923565</v>
      </c>
      <c r="I54" s="1385"/>
      <c r="J54" s="1386"/>
      <c r="K54" s="1386"/>
      <c r="L54" s="1386"/>
      <c r="M54" s="1386"/>
      <c r="N54" s="1386"/>
      <c r="O54" s="1387"/>
    </row>
    <row r="55" spans="1:15" ht="16">
      <c r="A55" s="1899"/>
      <c r="B55" s="1893" t="s">
        <v>508</v>
      </c>
      <c r="C55" s="1893"/>
      <c r="D55" s="1893"/>
      <c r="E55" s="1893"/>
      <c r="F55" s="315" t="s">
        <v>515</v>
      </c>
      <c r="G55" s="229">
        <v>0.26234025174634418</v>
      </c>
      <c r="I55" s="1894" t="s">
        <v>522</v>
      </c>
      <c r="J55" s="1895"/>
      <c r="K55" s="1895"/>
      <c r="L55" s="1895"/>
      <c r="M55" s="1895"/>
      <c r="N55" s="1895"/>
      <c r="O55" s="1896"/>
    </row>
    <row r="56" spans="1:15" ht="16">
      <c r="A56" s="1899"/>
      <c r="B56" s="1898" t="s">
        <v>509</v>
      </c>
      <c r="C56" s="1898"/>
      <c r="D56" s="1898"/>
      <c r="E56" s="1898"/>
      <c r="F56" s="305" t="s">
        <v>516</v>
      </c>
      <c r="G56" s="230">
        <v>4.001397552001122</v>
      </c>
    </row>
    <row r="57" spans="1:15" ht="16">
      <c r="A57" s="1899"/>
      <c r="B57" s="1898" t="s">
        <v>510</v>
      </c>
      <c r="C57" s="1898"/>
      <c r="D57" s="1898"/>
      <c r="E57" s="1898"/>
      <c r="F57" s="305" t="s">
        <v>516</v>
      </c>
      <c r="G57" s="230">
        <v>7.7441039109282732</v>
      </c>
      <c r="I57" s="1408" t="s">
        <v>520</v>
      </c>
      <c r="J57" s="1702"/>
      <c r="K57" s="1702"/>
      <c r="L57" s="1702"/>
      <c r="M57" s="1702"/>
      <c r="N57" s="1702"/>
      <c r="O57" s="1409"/>
    </row>
    <row r="58" spans="1:15">
      <c r="A58" s="86"/>
      <c r="B58" s="86"/>
      <c r="C58" s="86"/>
      <c r="D58" s="86"/>
      <c r="E58" s="86"/>
      <c r="F58" s="86"/>
      <c r="G58" s="86"/>
      <c r="I58" s="1385"/>
      <c r="J58" s="1386"/>
      <c r="K58" s="1386"/>
      <c r="L58" s="1386"/>
      <c r="M58" s="1386"/>
      <c r="N58" s="1386"/>
      <c r="O58" s="1387"/>
    </row>
    <row r="59" spans="1:15">
      <c r="A59" s="86"/>
      <c r="B59" s="1893" t="s">
        <v>517</v>
      </c>
      <c r="C59" s="1893"/>
      <c r="D59" s="1893"/>
      <c r="E59" s="1893"/>
      <c r="F59" s="316" t="s">
        <v>518</v>
      </c>
      <c r="G59" s="311">
        <v>429</v>
      </c>
      <c r="I59" s="1894" t="s">
        <v>519</v>
      </c>
      <c r="J59" s="1895"/>
      <c r="K59" s="1895"/>
      <c r="L59" s="1895"/>
      <c r="M59" s="1895"/>
      <c r="N59" s="1895"/>
      <c r="O59" s="1896"/>
    </row>
  </sheetData>
  <mergeCells count="78">
    <mergeCell ref="B1:E1"/>
    <mergeCell ref="F1:F3"/>
    <mergeCell ref="G1:K1"/>
    <mergeCell ref="L1:M1"/>
    <mergeCell ref="N1:O1"/>
    <mergeCell ref="B2:E3"/>
    <mergeCell ref="G2:K2"/>
    <mergeCell ref="L2:M2"/>
    <mergeCell ref="N2:O2"/>
    <mergeCell ref="G3:K3"/>
    <mergeCell ref="L3:M3"/>
    <mergeCell ref="N3:O3"/>
    <mergeCell ref="A6:G6"/>
    <mergeCell ref="A20:A26"/>
    <mergeCell ref="B11:C11"/>
    <mergeCell ref="B12:C12"/>
    <mergeCell ref="B13:C13"/>
    <mergeCell ref="B14:C14"/>
    <mergeCell ref="B15:C15"/>
    <mergeCell ref="B16:C16"/>
    <mergeCell ref="B10:C10"/>
    <mergeCell ref="B17:G17"/>
    <mergeCell ref="B8:C8"/>
    <mergeCell ref="B9:C9"/>
    <mergeCell ref="B18:F18"/>
    <mergeCell ref="A7:A8"/>
    <mergeCell ref="B7:G7"/>
    <mergeCell ref="B20:E20"/>
    <mergeCell ref="B21:E21"/>
    <mergeCell ref="B22:E22"/>
    <mergeCell ref="B23:E23"/>
    <mergeCell ref="B24:E24"/>
    <mergeCell ref="I26:O27"/>
    <mergeCell ref="I24:O24"/>
    <mergeCell ref="I22:O23"/>
    <mergeCell ref="I28:O28"/>
    <mergeCell ref="B28:E28"/>
    <mergeCell ref="B26:E26"/>
    <mergeCell ref="B25:E25"/>
    <mergeCell ref="B32:E32"/>
    <mergeCell ref="F32:F34"/>
    <mergeCell ref="G32:K32"/>
    <mergeCell ref="L32:M32"/>
    <mergeCell ref="N32:O32"/>
    <mergeCell ref="B33:E34"/>
    <mergeCell ref="G33:K33"/>
    <mergeCell ref="L33:M33"/>
    <mergeCell ref="N33:O33"/>
    <mergeCell ref="G34:K34"/>
    <mergeCell ref="L34:M34"/>
    <mergeCell ref="N34:O34"/>
    <mergeCell ref="A37:G37"/>
    <mergeCell ref="A38:A39"/>
    <mergeCell ref="B38:G38"/>
    <mergeCell ref="B39:C39"/>
    <mergeCell ref="B40:C40"/>
    <mergeCell ref="B41:C41"/>
    <mergeCell ref="B42:C42"/>
    <mergeCell ref="B43:C43"/>
    <mergeCell ref="B44:C44"/>
    <mergeCell ref="B45:C45"/>
    <mergeCell ref="B46:C46"/>
    <mergeCell ref="B47:C47"/>
    <mergeCell ref="B49:F49"/>
    <mergeCell ref="A51:A57"/>
    <mergeCell ref="B51:E51"/>
    <mergeCell ref="B52:E52"/>
    <mergeCell ref="B53:E53"/>
    <mergeCell ref="B54:E54"/>
    <mergeCell ref="B55:E55"/>
    <mergeCell ref="B56:E56"/>
    <mergeCell ref="B57:E57"/>
    <mergeCell ref="B48:G48"/>
    <mergeCell ref="B59:E59"/>
    <mergeCell ref="I53:O54"/>
    <mergeCell ref="I55:O55"/>
    <mergeCell ref="I57:O58"/>
    <mergeCell ref="I59:O59"/>
  </mergeCells>
  <pageMargins left="0.7" right="0.7" top="0.75" bottom="0.75" header="0.3" footer="0.3"/>
  <pageSetup paperSize="9" scale="43" orientation="portrait" horizontalDpi="360" verticalDpi="360"/>
  <rowBreaks count="1" manualBreakCount="1">
    <brk id="31" max="16383" man="1"/>
  </rowBreaks>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9"/>
  <sheetViews>
    <sheetView workbookViewId="0">
      <selection activeCell="G22" sqref="G22"/>
    </sheetView>
  </sheetViews>
  <sheetFormatPr baseColWidth="10" defaultColWidth="8.83203125" defaultRowHeight="15"/>
  <cols>
    <col min="1" max="18" width="8.83203125" style="86"/>
  </cols>
  <sheetData>
    <row r="1" spans="1:15" ht="15" customHeight="1">
      <c r="A1" s="308" t="s">
        <v>0</v>
      </c>
      <c r="B1" s="1932" t="s">
        <v>4</v>
      </c>
      <c r="C1" s="1933"/>
      <c r="D1" s="1933"/>
      <c r="E1" s="1934"/>
      <c r="F1" s="1508"/>
      <c r="G1" s="1402" t="s">
        <v>1</v>
      </c>
      <c r="H1" s="1403"/>
      <c r="I1" s="1403"/>
      <c r="J1" s="1403"/>
      <c r="K1" s="1404"/>
      <c r="L1" s="1352" t="s">
        <v>5</v>
      </c>
      <c r="M1" s="1353"/>
      <c r="N1" s="1352" t="s">
        <v>6</v>
      </c>
      <c r="O1" s="1353"/>
    </row>
    <row r="2" spans="1:15" ht="15" customHeight="1">
      <c r="A2" s="47">
        <v>16</v>
      </c>
      <c r="B2" s="1637" t="s">
        <v>524</v>
      </c>
      <c r="C2" s="1638"/>
      <c r="D2" s="1638"/>
      <c r="E2" s="1639"/>
      <c r="F2" s="1509"/>
      <c r="G2" s="1414" t="s">
        <v>2</v>
      </c>
      <c r="H2" s="1415"/>
      <c r="I2" s="1415"/>
      <c r="J2" s="1415"/>
      <c r="K2" s="1416"/>
      <c r="L2" s="1391" t="s">
        <v>74</v>
      </c>
      <c r="M2" s="1392"/>
      <c r="N2" s="1391" t="s">
        <v>7</v>
      </c>
      <c r="O2" s="1392"/>
    </row>
    <row r="3" spans="1:15" ht="15" customHeight="1">
      <c r="A3" s="48" t="s">
        <v>62</v>
      </c>
      <c r="B3" s="1640"/>
      <c r="C3" s="1641"/>
      <c r="D3" s="1641"/>
      <c r="E3" s="1642"/>
      <c r="F3" s="1510"/>
      <c r="G3" s="1542" t="s">
        <v>3</v>
      </c>
      <c r="H3" s="1543"/>
      <c r="I3" s="1543"/>
      <c r="J3" s="1543"/>
      <c r="K3" s="1544"/>
      <c r="L3" s="1357" t="s">
        <v>73</v>
      </c>
      <c r="M3" s="1358"/>
      <c r="N3" s="1357" t="s">
        <v>8</v>
      </c>
      <c r="O3" s="1358"/>
    </row>
    <row r="6" spans="1:15">
      <c r="A6" s="1935" t="s">
        <v>526</v>
      </c>
      <c r="B6" s="1935"/>
      <c r="C6" s="1935"/>
      <c r="D6" s="1935"/>
      <c r="E6" s="1935"/>
      <c r="F6" s="1935"/>
      <c r="J6" s="1408" t="s">
        <v>543</v>
      </c>
      <c r="K6" s="1702"/>
      <c r="L6" s="1702"/>
      <c r="M6" s="1702"/>
      <c r="N6" s="1702"/>
      <c r="O6" s="1409"/>
    </row>
    <row r="7" spans="1:15">
      <c r="A7" s="1897" t="s">
        <v>527</v>
      </c>
      <c r="B7" s="1897"/>
      <c r="C7" s="1897"/>
      <c r="D7" s="1936" t="s">
        <v>528</v>
      </c>
      <c r="E7" s="1936"/>
      <c r="F7" s="1936"/>
      <c r="J7" s="1385"/>
      <c r="K7" s="1386"/>
      <c r="L7" s="1386"/>
      <c r="M7" s="1386"/>
      <c r="N7" s="1386"/>
      <c r="O7" s="1387"/>
    </row>
    <row r="8" spans="1:15">
      <c r="A8" s="1897" t="s">
        <v>496</v>
      </c>
      <c r="B8" s="1897"/>
      <c r="C8" s="1897"/>
      <c r="D8" s="309">
        <v>0.83499999999999996</v>
      </c>
      <c r="E8" s="1903" t="s">
        <v>529</v>
      </c>
      <c r="F8" s="1903"/>
      <c r="J8" s="1910" t="s">
        <v>532</v>
      </c>
      <c r="K8" s="1911"/>
      <c r="L8" s="1912"/>
      <c r="M8" s="1910" t="s">
        <v>534</v>
      </c>
      <c r="N8" s="1911"/>
      <c r="O8" s="1912"/>
    </row>
    <row r="9" spans="1:15">
      <c r="A9" s="1897" t="s">
        <v>530</v>
      </c>
      <c r="B9" s="1897"/>
      <c r="C9" s="1897"/>
      <c r="D9" s="309">
        <v>42.705359999999999</v>
      </c>
      <c r="E9" s="1903" t="s">
        <v>531</v>
      </c>
      <c r="F9" s="1903"/>
      <c r="J9" s="1922" t="s">
        <v>536</v>
      </c>
      <c r="K9" s="1923"/>
      <c r="L9" s="1924"/>
      <c r="M9" s="1925" t="s">
        <v>218</v>
      </c>
      <c r="N9" s="1926"/>
      <c r="O9" s="1927"/>
    </row>
    <row r="10" spans="1:15">
      <c r="J10" s="1545" t="s">
        <v>544</v>
      </c>
      <c r="K10" s="1545"/>
      <c r="L10" s="1545"/>
      <c r="M10" s="1919">
        <v>1373</v>
      </c>
      <c r="N10" s="1919"/>
      <c r="O10" s="1919"/>
    </row>
    <row r="11" spans="1:15">
      <c r="A11" s="1910" t="s">
        <v>532</v>
      </c>
      <c r="B11" s="1912"/>
      <c r="C11" s="1910" t="s">
        <v>533</v>
      </c>
      <c r="D11" s="1912"/>
      <c r="E11" s="1910" t="s">
        <v>534</v>
      </c>
      <c r="F11" s="1912"/>
      <c r="J11" s="1545" t="s">
        <v>545</v>
      </c>
      <c r="K11" s="1545"/>
      <c r="L11" s="1545"/>
      <c r="M11" s="1919">
        <v>1472</v>
      </c>
      <c r="N11" s="1919"/>
      <c r="O11" s="1919"/>
    </row>
    <row r="12" spans="1:15">
      <c r="A12" s="1922" t="s">
        <v>536</v>
      </c>
      <c r="B12" s="1924"/>
      <c r="C12" s="1930" t="s">
        <v>535</v>
      </c>
      <c r="D12" s="1931"/>
      <c r="E12" s="1930" t="s">
        <v>218</v>
      </c>
      <c r="F12" s="1931"/>
      <c r="J12" s="1545" t="s">
        <v>546</v>
      </c>
      <c r="K12" s="1545"/>
      <c r="L12" s="1545"/>
      <c r="M12" s="1919">
        <v>1385</v>
      </c>
      <c r="N12" s="1919"/>
      <c r="O12" s="1919"/>
    </row>
    <row r="13" spans="1:15">
      <c r="A13" s="322" t="s">
        <v>537</v>
      </c>
      <c r="B13" s="323" t="s">
        <v>538</v>
      </c>
      <c r="C13" s="1919">
        <v>500</v>
      </c>
      <c r="D13" s="1919"/>
      <c r="E13" s="1919">
        <f>$D$8*$D$9*C13*1000/3600</f>
        <v>4952.6355000000003</v>
      </c>
      <c r="F13" s="1919"/>
      <c r="J13" s="1545" t="s">
        <v>547</v>
      </c>
      <c r="K13" s="1545"/>
      <c r="L13" s="1545"/>
      <c r="M13" s="1919">
        <v>1277</v>
      </c>
      <c r="N13" s="1919"/>
      <c r="O13" s="1919"/>
    </row>
    <row r="14" spans="1:15">
      <c r="A14" s="324" t="s">
        <v>539</v>
      </c>
      <c r="B14" s="325" t="s">
        <v>540</v>
      </c>
      <c r="C14" s="1919">
        <v>500</v>
      </c>
      <c r="D14" s="1919"/>
      <c r="E14" s="1919">
        <f>$D$8*$D$9*C14*1000/3600</f>
        <v>4952.6355000000003</v>
      </c>
      <c r="F14" s="1919"/>
      <c r="J14" s="1545" t="s">
        <v>548</v>
      </c>
      <c r="K14" s="1545"/>
      <c r="L14" s="1545"/>
      <c r="M14" s="1919">
        <v>1346</v>
      </c>
      <c r="N14" s="1919"/>
      <c r="O14" s="1919"/>
    </row>
    <row r="15" spans="1:15">
      <c r="A15" s="321"/>
      <c r="B15" s="321"/>
      <c r="C15" s="321"/>
      <c r="D15" s="321"/>
      <c r="E15" s="321"/>
      <c r="F15" s="321"/>
      <c r="J15" s="1545" t="s">
        <v>549</v>
      </c>
      <c r="K15" s="1545"/>
      <c r="L15" s="1545"/>
      <c r="M15" s="1919">
        <v>1165</v>
      </c>
      <c r="N15" s="1919"/>
      <c r="O15" s="1919"/>
    </row>
    <row r="16" spans="1:15">
      <c r="A16" s="1928" t="s">
        <v>541</v>
      </c>
      <c r="B16" s="1928"/>
      <c r="C16" s="1928"/>
      <c r="D16" s="326">
        <f>SUM(E13:F14)</f>
        <v>9905.2710000000006</v>
      </c>
      <c r="E16" s="1929" t="s">
        <v>218</v>
      </c>
      <c r="F16" s="1929"/>
      <c r="M16" s="321"/>
      <c r="N16" s="321"/>
      <c r="O16" s="321"/>
    </row>
    <row r="17" spans="1:15">
      <c r="A17" s="1928" t="s">
        <v>426</v>
      </c>
      <c r="B17" s="1928"/>
      <c r="C17" s="1928"/>
      <c r="D17" s="326">
        <v>192.5</v>
      </c>
      <c r="E17" s="1929" t="s">
        <v>32</v>
      </c>
      <c r="F17" s="1929"/>
      <c r="J17" s="1913" t="s">
        <v>541</v>
      </c>
      <c r="K17" s="1914"/>
      <c r="L17" s="1915"/>
      <c r="M17" s="1916">
        <f>SUM(M10:O15)</f>
        <v>8018</v>
      </c>
      <c r="N17" s="1917"/>
      <c r="O17" s="1918"/>
    </row>
    <row r="18" spans="1:15" ht="16">
      <c r="A18" s="1920" t="s">
        <v>554</v>
      </c>
      <c r="B18" s="1920"/>
      <c r="C18" s="1920"/>
      <c r="D18" s="327">
        <f>D16/D17</f>
        <v>51.455953246753253</v>
      </c>
      <c r="E18" s="1921" t="s">
        <v>542</v>
      </c>
      <c r="F18" s="1921"/>
      <c r="G18" s="5"/>
    </row>
    <row r="19" spans="1:15">
      <c r="A19" s="321"/>
      <c r="B19" s="321"/>
      <c r="C19" s="321"/>
      <c r="D19" s="321"/>
      <c r="E19" s="321"/>
      <c r="F19" s="321"/>
    </row>
  </sheetData>
  <mergeCells count="54">
    <mergeCell ref="L1:M1"/>
    <mergeCell ref="N1:O1"/>
    <mergeCell ref="B2:E3"/>
    <mergeCell ref="G2:K2"/>
    <mergeCell ref="L2:M2"/>
    <mergeCell ref="N2:O2"/>
    <mergeCell ref="G3:K3"/>
    <mergeCell ref="L3:M3"/>
    <mergeCell ref="N3:O3"/>
    <mergeCell ref="A8:C8"/>
    <mergeCell ref="E8:F8"/>
    <mergeCell ref="B1:E1"/>
    <mergeCell ref="F1:F3"/>
    <mergeCell ref="G1:K1"/>
    <mergeCell ref="A6:F6"/>
    <mergeCell ref="A7:C7"/>
    <mergeCell ref="D7:F7"/>
    <mergeCell ref="E9:F9"/>
    <mergeCell ref="A11:B11"/>
    <mergeCell ref="C11:D11"/>
    <mergeCell ref="E11:F11"/>
    <mergeCell ref="A12:B12"/>
    <mergeCell ref="C12:D12"/>
    <mergeCell ref="E12:F12"/>
    <mergeCell ref="A18:C18"/>
    <mergeCell ref="E18:F18"/>
    <mergeCell ref="J6:O7"/>
    <mergeCell ref="J8:L8"/>
    <mergeCell ref="M8:O8"/>
    <mergeCell ref="J9:L9"/>
    <mergeCell ref="M9:O9"/>
    <mergeCell ref="C13:D13"/>
    <mergeCell ref="E13:F13"/>
    <mergeCell ref="C14:D14"/>
    <mergeCell ref="E14:F14"/>
    <mergeCell ref="A16:C16"/>
    <mergeCell ref="A17:C17"/>
    <mergeCell ref="E17:F17"/>
    <mergeCell ref="E16:F16"/>
    <mergeCell ref="A9:C9"/>
    <mergeCell ref="J17:L17"/>
    <mergeCell ref="M17:O17"/>
    <mergeCell ref="M10:O10"/>
    <mergeCell ref="M11:O11"/>
    <mergeCell ref="M12:O12"/>
    <mergeCell ref="M13:O13"/>
    <mergeCell ref="M14:O14"/>
    <mergeCell ref="M15:O15"/>
    <mergeCell ref="J10:L10"/>
    <mergeCell ref="J11:L11"/>
    <mergeCell ref="J12:L12"/>
    <mergeCell ref="J13:L13"/>
    <mergeCell ref="J14:L14"/>
    <mergeCell ref="J15:L15"/>
  </mergeCells>
  <pageMargins left="0.7" right="0.7" top="0.75" bottom="0.75" header="0.3" footer="0.3"/>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2"/>
  <sheetViews>
    <sheetView workbookViewId="0">
      <selection activeCell="C24" sqref="C24"/>
    </sheetView>
  </sheetViews>
  <sheetFormatPr baseColWidth="10" defaultColWidth="8.83203125" defaultRowHeight="15"/>
  <cols>
    <col min="1" max="18" width="8.83203125" style="20"/>
    <col min="19" max="19" width="9" style="20" customWidth="1"/>
  </cols>
  <sheetData>
    <row r="1" spans="1:15" ht="15" customHeight="1">
      <c r="A1" s="319" t="s">
        <v>0</v>
      </c>
      <c r="B1" s="1932" t="s">
        <v>4</v>
      </c>
      <c r="C1" s="1933"/>
      <c r="D1" s="1933"/>
      <c r="E1" s="1934"/>
      <c r="F1" s="1508"/>
      <c r="G1" s="1402" t="s">
        <v>1</v>
      </c>
      <c r="H1" s="1403"/>
      <c r="I1" s="1403"/>
      <c r="J1" s="1403"/>
      <c r="K1" s="1404"/>
      <c r="L1" s="1352" t="s">
        <v>5</v>
      </c>
      <c r="M1" s="1353"/>
      <c r="N1" s="1352" t="s">
        <v>6</v>
      </c>
      <c r="O1" s="1353"/>
    </row>
    <row r="2" spans="1:15" ht="15" customHeight="1">
      <c r="A2" s="47">
        <v>17</v>
      </c>
      <c r="B2" s="1637" t="s">
        <v>555</v>
      </c>
      <c r="C2" s="1638"/>
      <c r="D2" s="1638"/>
      <c r="E2" s="1639"/>
      <c r="F2" s="1509"/>
      <c r="G2" s="1414" t="s">
        <v>2</v>
      </c>
      <c r="H2" s="1415"/>
      <c r="I2" s="1415"/>
      <c r="J2" s="1415"/>
      <c r="K2" s="1416"/>
      <c r="L2" s="1391" t="s">
        <v>74</v>
      </c>
      <c r="M2" s="1392"/>
      <c r="N2" s="1391" t="s">
        <v>7</v>
      </c>
      <c r="O2" s="1392"/>
    </row>
    <row r="3" spans="1:15" ht="15" customHeight="1">
      <c r="A3" s="48" t="s">
        <v>62</v>
      </c>
      <c r="B3" s="1640"/>
      <c r="C3" s="1641"/>
      <c r="D3" s="1641"/>
      <c r="E3" s="1642"/>
      <c r="F3" s="1510"/>
      <c r="G3" s="1542" t="s">
        <v>3</v>
      </c>
      <c r="H3" s="1543"/>
      <c r="I3" s="1543"/>
      <c r="J3" s="1543"/>
      <c r="K3" s="1544"/>
      <c r="L3" s="1357" t="s">
        <v>73</v>
      </c>
      <c r="M3" s="1358"/>
      <c r="N3" s="1357" t="s">
        <v>8</v>
      </c>
      <c r="O3" s="1358"/>
    </row>
    <row r="17" spans="2:15" ht="16">
      <c r="B17" s="1408" t="s">
        <v>563</v>
      </c>
      <c r="C17" s="1409"/>
      <c r="D17" s="1910" t="s">
        <v>432</v>
      </c>
      <c r="E17" s="1912"/>
      <c r="F17" s="1910" t="s">
        <v>431</v>
      </c>
      <c r="G17" s="1912"/>
      <c r="H17" s="1910" t="s">
        <v>433</v>
      </c>
      <c r="I17" s="1912"/>
      <c r="J17" s="1910" t="s">
        <v>556</v>
      </c>
      <c r="K17" s="1912"/>
      <c r="L17" s="1784" t="s">
        <v>562</v>
      </c>
      <c r="M17" s="1783"/>
      <c r="N17" s="1582" t="s">
        <v>564</v>
      </c>
      <c r="O17" s="1582"/>
    </row>
    <row r="18" spans="2:15" ht="15" customHeight="1">
      <c r="B18" s="1385"/>
      <c r="C18" s="1387"/>
      <c r="D18" s="1925" t="s">
        <v>427</v>
      </c>
      <c r="E18" s="1927"/>
      <c r="F18" s="1925" t="s">
        <v>427</v>
      </c>
      <c r="G18" s="1927"/>
      <c r="H18" s="1925" t="s">
        <v>427</v>
      </c>
      <c r="I18" s="1927"/>
      <c r="J18" s="1938" t="s">
        <v>557</v>
      </c>
      <c r="K18" s="1939"/>
      <c r="L18" s="1464"/>
      <c r="M18" s="1466"/>
      <c r="N18" s="1582"/>
      <c r="O18" s="1582"/>
    </row>
    <row r="19" spans="2:15">
      <c r="B19" s="1940" t="s">
        <v>558</v>
      </c>
      <c r="C19" s="1940"/>
      <c r="D19" s="1588" t="e">
        <f>#REF!</f>
        <v>#REF!</v>
      </c>
      <c r="E19" s="1545"/>
      <c r="F19" s="1588" t="e">
        <f>#REF!</f>
        <v>#REF!</v>
      </c>
      <c r="G19" s="1545"/>
      <c r="H19" s="1588" t="e">
        <f>#REF!</f>
        <v>#REF!</v>
      </c>
      <c r="I19" s="1588"/>
      <c r="J19" s="1588" t="e">
        <f>#REF!</f>
        <v>#REF!</v>
      </c>
      <c r="K19" s="1588"/>
      <c r="L19" s="1919" t="s">
        <v>423</v>
      </c>
      <c r="M19" s="1545"/>
      <c r="N19" s="1545" t="s">
        <v>24</v>
      </c>
      <c r="O19" s="1545"/>
    </row>
    <row r="20" spans="2:15">
      <c r="B20" s="1940" t="s">
        <v>559</v>
      </c>
      <c r="C20" s="1940"/>
      <c r="D20" s="1545">
        <v>147.33000000000001</v>
      </c>
      <c r="E20" s="1545"/>
      <c r="F20" s="1545">
        <v>19.45</v>
      </c>
      <c r="G20" s="1545"/>
      <c r="H20" s="1588">
        <v>166.78</v>
      </c>
      <c r="I20" s="1588"/>
      <c r="J20" s="1588">
        <v>33.6</v>
      </c>
      <c r="K20" s="1588"/>
      <c r="L20" s="1545" t="s">
        <v>430</v>
      </c>
      <c r="M20" s="1545"/>
      <c r="N20" s="1937" t="e">
        <f>(($J$19-J20)/$J$19)</f>
        <v>#REF!</v>
      </c>
      <c r="O20" s="1937"/>
    </row>
    <row r="21" spans="2:15">
      <c r="B21" s="1940" t="s">
        <v>560</v>
      </c>
      <c r="C21" s="1940"/>
      <c r="D21" s="1545">
        <v>162.72</v>
      </c>
      <c r="E21" s="1545"/>
      <c r="F21" s="1545">
        <v>45.94</v>
      </c>
      <c r="G21" s="1545"/>
      <c r="H21" s="1588">
        <f>SUM(D21+F21)</f>
        <v>208.66</v>
      </c>
      <c r="I21" s="1588"/>
      <c r="J21" s="1588">
        <v>55.46</v>
      </c>
      <c r="K21" s="1588"/>
      <c r="L21" s="1545" t="s">
        <v>423</v>
      </c>
      <c r="M21" s="1545"/>
      <c r="N21" s="1937" t="e">
        <f t="shared" ref="N21:N22" si="0">(($J$19-J21)/$J$19)</f>
        <v>#REF!</v>
      </c>
      <c r="O21" s="1937"/>
    </row>
    <row r="22" spans="2:15">
      <c r="B22" s="1940" t="s">
        <v>561</v>
      </c>
      <c r="C22" s="1940"/>
      <c r="D22" s="1545">
        <v>107.04</v>
      </c>
      <c r="E22" s="1545"/>
      <c r="F22" s="1545">
        <v>19.03</v>
      </c>
      <c r="G22" s="1545"/>
      <c r="H22" s="1588">
        <v>126.1</v>
      </c>
      <c r="I22" s="1588"/>
      <c r="J22" s="1588">
        <v>25.41</v>
      </c>
      <c r="K22" s="1588"/>
      <c r="L22" s="1545" t="s">
        <v>429</v>
      </c>
      <c r="M22" s="1545"/>
      <c r="N22" s="1937" t="e">
        <f t="shared" si="0"/>
        <v>#REF!</v>
      </c>
      <c r="O22" s="1937"/>
    </row>
  </sheetData>
  <mergeCells count="51">
    <mergeCell ref="N3:O3"/>
    <mergeCell ref="B1:E1"/>
    <mergeCell ref="F1:F3"/>
    <mergeCell ref="G1:K1"/>
    <mergeCell ref="L1:M1"/>
    <mergeCell ref="N1:O1"/>
    <mergeCell ref="B2:E3"/>
    <mergeCell ref="G2:K2"/>
    <mergeCell ref="L2:M2"/>
    <mergeCell ref="N2:O2"/>
    <mergeCell ref="G3:K3"/>
    <mergeCell ref="F17:G17"/>
    <mergeCell ref="F18:G18"/>
    <mergeCell ref="H17:I17"/>
    <mergeCell ref="H18:I18"/>
    <mergeCell ref="L3:M3"/>
    <mergeCell ref="B22:C22"/>
    <mergeCell ref="D19:E19"/>
    <mergeCell ref="D20:E20"/>
    <mergeCell ref="D21:E21"/>
    <mergeCell ref="D22:E22"/>
    <mergeCell ref="F22:G22"/>
    <mergeCell ref="H22:I22"/>
    <mergeCell ref="J22:K22"/>
    <mergeCell ref="F19:G19"/>
    <mergeCell ref="H19:I19"/>
    <mergeCell ref="J19:K19"/>
    <mergeCell ref="F20:G20"/>
    <mergeCell ref="H20:I20"/>
    <mergeCell ref="J20:K20"/>
    <mergeCell ref="N22:O22"/>
    <mergeCell ref="L19:M19"/>
    <mergeCell ref="L20:M20"/>
    <mergeCell ref="L21:M21"/>
    <mergeCell ref="L22:M22"/>
    <mergeCell ref="B17:C18"/>
    <mergeCell ref="N17:O18"/>
    <mergeCell ref="N19:O19"/>
    <mergeCell ref="N20:O20"/>
    <mergeCell ref="N21:O21"/>
    <mergeCell ref="L17:M18"/>
    <mergeCell ref="F21:G21"/>
    <mergeCell ref="H21:I21"/>
    <mergeCell ref="J21:K21"/>
    <mergeCell ref="J17:K17"/>
    <mergeCell ref="J18:K18"/>
    <mergeCell ref="B19:C19"/>
    <mergeCell ref="B20:C20"/>
    <mergeCell ref="B21:C21"/>
    <mergeCell ref="D17:E17"/>
    <mergeCell ref="D18:E18"/>
  </mergeCells>
  <pageMargins left="0.7" right="0.7" top="0.75" bottom="0.75" header="0.3" footer="0.3"/>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AP300"/>
  <sheetViews>
    <sheetView tabSelected="1" zoomScale="150" zoomScaleNormal="90" workbookViewId="0">
      <selection activeCell="M15" sqref="M15"/>
    </sheetView>
  </sheetViews>
  <sheetFormatPr baseColWidth="10" defaultColWidth="8.83203125" defaultRowHeight="15"/>
  <cols>
    <col min="2" max="2" width="10.1640625" bestFit="1" customWidth="1"/>
    <col min="7" max="7" width="9.83203125" bestFit="1" customWidth="1"/>
    <col min="11" max="11" width="11.1640625" bestFit="1" customWidth="1"/>
    <col min="14" max="14" width="13" customWidth="1"/>
    <col min="15" max="15" width="9.1640625" bestFit="1" customWidth="1"/>
    <col min="18" max="18" width="9.1640625" bestFit="1" customWidth="1"/>
    <col min="20" max="20" width="10.83203125" customWidth="1"/>
    <col min="22" max="22" width="10" customWidth="1"/>
    <col min="40" max="40" width="13.83203125" customWidth="1"/>
  </cols>
  <sheetData>
    <row r="1" spans="1:25">
      <c r="A1" s="592" t="s">
        <v>0</v>
      </c>
      <c r="B1" s="1402" t="s">
        <v>566</v>
      </c>
      <c r="C1" s="1403"/>
      <c r="D1" s="1403"/>
      <c r="E1" s="1404"/>
      <c r="F1" s="1508"/>
      <c r="G1" s="1402" t="s">
        <v>567</v>
      </c>
      <c r="H1" s="1403"/>
      <c r="I1" s="1403"/>
      <c r="J1" s="1403"/>
      <c r="K1" s="1404"/>
      <c r="L1" s="1352" t="s">
        <v>5</v>
      </c>
      <c r="M1" s="1353"/>
      <c r="N1" s="1352" t="s">
        <v>6</v>
      </c>
      <c r="O1" s="1353"/>
    </row>
    <row r="2" spans="1:25" ht="24">
      <c r="A2" s="47">
        <v>11</v>
      </c>
      <c r="B2" s="1511" t="s">
        <v>684</v>
      </c>
      <c r="C2" s="1512"/>
      <c r="D2" s="1512"/>
      <c r="E2" s="1513"/>
      <c r="F2" s="1509"/>
      <c r="G2" s="1414" t="s">
        <v>568</v>
      </c>
      <c r="H2" s="1415"/>
      <c r="I2" s="1415"/>
      <c r="J2" s="1415"/>
      <c r="K2" s="1416"/>
      <c r="L2" s="1391" t="s">
        <v>573</v>
      </c>
      <c r="M2" s="1392"/>
      <c r="N2" s="1391" t="str">
        <f>'10.QH,nd e costi'!N2:O2</f>
        <v>X</v>
      </c>
      <c r="O2" s="1392"/>
    </row>
    <row r="3" spans="1:25">
      <c r="A3" s="48" t="s">
        <v>62</v>
      </c>
      <c r="B3" s="1514"/>
      <c r="C3" s="1515"/>
      <c r="D3" s="1515"/>
      <c r="E3" s="1516"/>
      <c r="F3" s="1510"/>
      <c r="G3" s="1354" t="str">
        <f>'[3]1.Dati'!G3:K3</f>
        <v>LAB. INTEGR. DI PROG. TECN. (TERMOFISICA DELL'EDIFICIO) a.a. 2017/2018</v>
      </c>
      <c r="H3" s="1355"/>
      <c r="I3" s="1355"/>
      <c r="J3" s="1355"/>
      <c r="K3" s="1356"/>
      <c r="L3" s="1357" t="s">
        <v>1028</v>
      </c>
      <c r="M3" s="1358"/>
      <c r="N3" s="1357" t="str">
        <f>'10.QH,nd e costi'!N3:O3</f>
        <v>Y</v>
      </c>
      <c r="O3" s="1358"/>
    </row>
    <row r="4" spans="1:25" ht="24">
      <c r="C4" s="594"/>
      <c r="D4" s="594"/>
      <c r="E4" s="594"/>
    </row>
    <row r="6" spans="1:25" ht="16">
      <c r="D6" s="1635" t="s">
        <v>204</v>
      </c>
      <c r="E6" s="1635"/>
      <c r="F6" s="1635"/>
      <c r="G6" s="1635"/>
      <c r="H6" s="1635"/>
      <c r="R6" s="9"/>
      <c r="S6" s="9"/>
      <c r="T6" s="9"/>
      <c r="U6" s="9"/>
      <c r="V6" s="9"/>
      <c r="W6" s="9"/>
      <c r="X6" s="9"/>
      <c r="Y6" s="9"/>
    </row>
    <row r="7" spans="1:25" ht="18">
      <c r="D7" s="261" t="s">
        <v>403</v>
      </c>
      <c r="E7" s="261" t="s">
        <v>404</v>
      </c>
      <c r="F7" s="261" t="s">
        <v>405</v>
      </c>
      <c r="G7" s="261" t="s">
        <v>406</v>
      </c>
      <c r="H7" s="261" t="s">
        <v>414</v>
      </c>
      <c r="K7" s="261" t="s">
        <v>414</v>
      </c>
      <c r="L7" s="261" t="s">
        <v>685</v>
      </c>
      <c r="M7" s="261" t="s">
        <v>686</v>
      </c>
      <c r="O7" s="261" t="s">
        <v>686</v>
      </c>
      <c r="R7" s="9"/>
      <c r="S7" s="9"/>
      <c r="T7" s="9"/>
      <c r="U7" s="9"/>
      <c r="V7" s="9"/>
      <c r="W7" s="9"/>
      <c r="X7" s="9"/>
      <c r="Y7" s="9"/>
    </row>
    <row r="8" spans="1:25">
      <c r="D8" s="175" t="s">
        <v>218</v>
      </c>
      <c r="E8" s="175" t="s">
        <v>218</v>
      </c>
      <c r="F8" s="175" t="s">
        <v>218</v>
      </c>
      <c r="G8" s="175" t="s">
        <v>218</v>
      </c>
      <c r="H8" s="175" t="s">
        <v>218</v>
      </c>
      <c r="I8" s="595" t="s">
        <v>687</v>
      </c>
      <c r="J8" s="595" t="s">
        <v>688</v>
      </c>
      <c r="K8" s="175" t="s">
        <v>689</v>
      </c>
      <c r="L8" s="175" t="s">
        <v>201</v>
      </c>
      <c r="M8" s="596" t="str">
        <f>O8</f>
        <v>elementi radianti</v>
      </c>
      <c r="O8" s="596" t="s">
        <v>690</v>
      </c>
      <c r="R8" s="9"/>
      <c r="S8" s="9"/>
      <c r="T8" s="9"/>
      <c r="U8" s="9"/>
      <c r="V8" s="9"/>
      <c r="W8" s="9"/>
      <c r="X8" s="9"/>
      <c r="Y8" s="9"/>
    </row>
    <row r="9" spans="1:25" ht="15" customHeight="1">
      <c r="A9" s="1484" t="s">
        <v>34</v>
      </c>
      <c r="B9" s="1796" t="s">
        <v>809</v>
      </c>
      <c r="C9" s="1275" t="s">
        <v>9</v>
      </c>
      <c r="D9" s="647">
        <f>'10.QH,nd e costi'!D100</f>
        <v>161.01222059999998</v>
      </c>
      <c r="E9" s="647">
        <f>'10.QH,nd e costi'!E100</f>
        <v>28.877303519999998</v>
      </c>
      <c r="F9" s="647">
        <f>'10.QH,nd e costi'!F100</f>
        <v>35.975826035660162</v>
      </c>
      <c r="G9" s="647">
        <f>'10.QH,nd e costi'!G100</f>
        <v>1.4227636498406733</v>
      </c>
      <c r="H9" s="647">
        <f>'10.QH,nd e costi'!H100</f>
        <v>153.55935365410406</v>
      </c>
      <c r="I9" s="597">
        <f>($I$69*H9)/$H$69</f>
        <v>2.4068464496641271E-2</v>
      </c>
      <c r="J9" s="598">
        <f>I9</f>
        <v>2.4068464496641271E-2</v>
      </c>
      <c r="K9" s="599">
        <f>H9*1000</f>
        <v>153559.35365410405</v>
      </c>
      <c r="L9" s="599">
        <f>K9/(31*24)</f>
        <v>206.3969807178818</v>
      </c>
      <c r="M9" s="1285">
        <f>IF(OR(C9="RIPOSTIGLIO",C9="DISIMPEGNO"), 0, CEILING(L9/$W$106,1))</f>
        <v>2</v>
      </c>
      <c r="N9" s="1087" t="str">
        <f>C9</f>
        <v>CUCINA</v>
      </c>
      <c r="O9" s="1092">
        <f>SUM(M9:M18)</f>
        <v>17</v>
      </c>
      <c r="P9" s="1484" t="s">
        <v>34</v>
      </c>
      <c r="R9" s="2065"/>
      <c r="S9" s="9"/>
      <c r="T9" s="9"/>
      <c r="U9" s="1290"/>
      <c r="V9" s="2065"/>
      <c r="W9" s="9"/>
      <c r="X9" s="9"/>
      <c r="Y9" s="9"/>
    </row>
    <row r="10" spans="1:25">
      <c r="A10" s="1485"/>
      <c r="B10" s="1797"/>
      <c r="C10" s="1276" t="s">
        <v>804</v>
      </c>
      <c r="D10" s="647">
        <f>'10.QH,nd e costi'!D101</f>
        <v>543.94200344000001</v>
      </c>
      <c r="E10" s="647">
        <f>'10.QH,nd e costi'!E101</f>
        <v>73.187012159999981</v>
      </c>
      <c r="F10" s="647">
        <f>'10.QH,nd e costi'!F101</f>
        <v>91.177599588353274</v>
      </c>
      <c r="G10" s="647">
        <f>'10.QH,nd e costi'!G101</f>
        <v>5.2018688328145375</v>
      </c>
      <c r="H10" s="647">
        <f>'10.QH,nd e costi'!H101</f>
        <v>523.50295786363142</v>
      </c>
      <c r="I10" s="597">
        <f>($I$69*H10)/$H$69</f>
        <v>8.2052392481470671E-2</v>
      </c>
      <c r="J10" s="598">
        <f>I10</f>
        <v>8.2052392481470671E-2</v>
      </c>
      <c r="K10" s="599">
        <f t="shared" ref="K10:K68" si="0">H10*1000</f>
        <v>523502.95786363143</v>
      </c>
      <c r="L10" s="599">
        <f>K10/(31*24)</f>
        <v>703.63300788122501</v>
      </c>
      <c r="M10" s="1291">
        <f t="shared" ref="M10:M68" si="1">IF(OR(C10="RIPOSTIGLIO",C10="DISIMPEGNO"), 0, CEILING(L10/$W$106,1))</f>
        <v>7</v>
      </c>
      <c r="N10" s="1087" t="str">
        <f t="shared" ref="N10:N68" si="2">C10</f>
        <v>PRANZO - SOGGIORNO</v>
      </c>
      <c r="O10" s="1093"/>
      <c r="P10" s="1485"/>
      <c r="R10" s="9"/>
      <c r="S10" s="9"/>
      <c r="T10" s="9"/>
      <c r="U10" s="1290"/>
      <c r="V10" s="9"/>
      <c r="W10" s="9"/>
      <c r="X10" s="9"/>
      <c r="Y10" s="9"/>
    </row>
    <row r="11" spans="1:25">
      <c r="A11" s="1485"/>
      <c r="B11" s="1797"/>
      <c r="C11" s="1276" t="s">
        <v>22</v>
      </c>
      <c r="D11" s="647">
        <f>'10.QH,nd e costi'!D102</f>
        <v>16.750192800000001</v>
      </c>
      <c r="E11" s="647">
        <f>'10.QH,nd e costi'!E102</f>
        <v>11.6471790864</v>
      </c>
      <c r="F11" s="647">
        <f>'10.QH,nd e costi'!F102</f>
        <v>11.491873174953792</v>
      </c>
      <c r="G11" s="647">
        <f>'10.QH,nd e costi'!G102</f>
        <v>1.7255483221473424</v>
      </c>
      <c r="H11" s="647">
        <f>'10.QH,nd e costi'!H102</f>
        <v>15.557551450725974</v>
      </c>
      <c r="I11" s="597">
        <f t="shared" ref="I11:I68" si="3">($I$69*H11)/$H$69</f>
        <v>2.4384471921516221E-3</v>
      </c>
      <c r="J11" s="598">
        <f t="shared" ref="J11:J68" si="4">I11</f>
        <v>2.4384471921516221E-3</v>
      </c>
      <c r="K11" s="599">
        <f t="shared" si="0"/>
        <v>15557.551450725974</v>
      </c>
      <c r="L11" s="599">
        <f t="shared" ref="L11:L68" si="5">K11/(31*24)</f>
        <v>20.910687433771471</v>
      </c>
      <c r="M11" s="1291">
        <f t="shared" si="1"/>
        <v>0</v>
      </c>
      <c r="N11" s="1087" t="str">
        <f t="shared" si="2"/>
        <v>RIPOSTIGLIO</v>
      </c>
      <c r="O11" s="1093"/>
      <c r="P11" s="1485"/>
      <c r="R11" s="9"/>
      <c r="S11" s="9"/>
      <c r="T11" s="9"/>
      <c r="U11" s="1290"/>
      <c r="V11" s="9"/>
      <c r="W11" s="9"/>
      <c r="X11" s="9"/>
      <c r="Y11" s="9"/>
    </row>
    <row r="12" spans="1:25">
      <c r="A12" s="1485"/>
      <c r="B12" s="1797"/>
      <c r="C12" s="1276" t="s">
        <v>803</v>
      </c>
      <c r="D12" s="647">
        <f>'10.QH,nd e costi'!D103</f>
        <v>25.08559679999999</v>
      </c>
      <c r="E12" s="647">
        <f>'10.QH,nd e costi'!E103</f>
        <v>10.75591872</v>
      </c>
      <c r="F12" s="647">
        <f>'10.QH,nd e costi'!F103</f>
        <v>5.7774943296134387</v>
      </c>
      <c r="G12" s="647">
        <f>'10.QH,nd e costi'!G103</f>
        <v>0.70332484391927508</v>
      </c>
      <c r="H12" s="647">
        <f>'10.QH,nd e costi'!H103</f>
        <v>29.54584321489239</v>
      </c>
      <c r="I12" s="597">
        <f t="shared" si="3"/>
        <v>4.6309330009475539E-3</v>
      </c>
      <c r="J12" s="598">
        <f t="shared" si="4"/>
        <v>4.6309330009475539E-3</v>
      </c>
      <c r="K12" s="599">
        <f t="shared" si="0"/>
        <v>29545.843214892389</v>
      </c>
      <c r="L12" s="599">
        <f t="shared" si="5"/>
        <v>39.712154858726329</v>
      </c>
      <c r="M12" s="1291">
        <f t="shared" si="1"/>
        <v>1</v>
      </c>
      <c r="N12" s="1087" t="str">
        <f t="shared" si="2"/>
        <v>BAGNO 3</v>
      </c>
      <c r="O12" s="1093"/>
      <c r="P12" s="1485"/>
      <c r="R12" s="9"/>
      <c r="S12" s="9"/>
      <c r="T12" s="9"/>
      <c r="U12" s="1290"/>
      <c r="V12" s="9"/>
      <c r="W12" s="9"/>
      <c r="X12" s="9"/>
      <c r="Y12" s="9"/>
    </row>
    <row r="13" spans="1:25">
      <c r="A13" s="1485"/>
      <c r="B13" s="1797"/>
      <c r="C13" s="1276" t="s">
        <v>802</v>
      </c>
      <c r="D13" s="647">
        <f>'10.QH,nd e costi'!D104</f>
        <v>114.13240901333333</v>
      </c>
      <c r="E13" s="647">
        <f>'10.QH,nd e costi'!E104</f>
        <v>4.6375156799999999</v>
      </c>
      <c r="F13" s="647">
        <f>'10.QH,nd e costi'!F104</f>
        <v>37.808602598205603</v>
      </c>
      <c r="G13" s="647">
        <f>'10.QH,nd e costi'!G104</f>
        <v>0</v>
      </c>
      <c r="H13" s="647">
        <f>'10.QH,nd e costi'!H104</f>
        <v>82.041454742428812</v>
      </c>
      <c r="I13" s="597">
        <f t="shared" si="3"/>
        <v>1.2858948632779529E-2</v>
      </c>
      <c r="J13" s="598">
        <f t="shared" si="4"/>
        <v>1.2858948632779529E-2</v>
      </c>
      <c r="K13" s="599">
        <f t="shared" si="0"/>
        <v>82041.454742428818</v>
      </c>
      <c r="L13" s="599">
        <f t="shared" si="5"/>
        <v>110.27077250326454</v>
      </c>
      <c r="M13" s="1291">
        <f t="shared" si="1"/>
        <v>1</v>
      </c>
      <c r="N13" s="1087" t="str">
        <f t="shared" si="2"/>
        <v>LETTO 3</v>
      </c>
      <c r="O13" s="1093"/>
      <c r="P13" s="1485"/>
      <c r="R13" s="9"/>
      <c r="S13" s="9"/>
      <c r="T13" s="9"/>
      <c r="U13" s="1290"/>
      <c r="V13" s="9"/>
      <c r="W13" s="9"/>
      <c r="X13" s="9"/>
      <c r="Y13" s="9"/>
    </row>
    <row r="14" spans="1:25">
      <c r="A14" s="1485"/>
      <c r="B14" s="1797"/>
      <c r="C14" s="1276" t="s">
        <v>587</v>
      </c>
      <c r="D14" s="647">
        <f>'10.QH,nd e costi'!D105</f>
        <v>59.098896413333314</v>
      </c>
      <c r="E14" s="647">
        <f>'10.QH,nd e costi'!E105</f>
        <v>39.263000399999996</v>
      </c>
      <c r="F14" s="647">
        <f>'10.QH,nd e costi'!F105</f>
        <v>13.399902814901758</v>
      </c>
      <c r="G14" s="647">
        <f>'10.QH,nd e costi'!G105</f>
        <v>1.7308818435057003</v>
      </c>
      <c r="H14" s="647">
        <f>'10.QH,nd e costi'!H105</f>
        <v>83.663375009559999</v>
      </c>
      <c r="I14" s="597">
        <f t="shared" si="3"/>
        <v>1.3113163888554581E-2</v>
      </c>
      <c r="J14" s="598">
        <f t="shared" si="4"/>
        <v>1.3113163888554581E-2</v>
      </c>
      <c r="K14" s="599">
        <f t="shared" si="0"/>
        <v>83663.375009559997</v>
      </c>
      <c r="L14" s="599">
        <f t="shared" si="5"/>
        <v>112.45077286231182</v>
      </c>
      <c r="M14" s="1291">
        <f t="shared" si="1"/>
        <v>1</v>
      </c>
      <c r="N14" s="1087" t="str">
        <f t="shared" si="2"/>
        <v>BAGNO 2</v>
      </c>
      <c r="O14" s="1093"/>
      <c r="P14" s="1485"/>
      <c r="R14" s="9"/>
      <c r="S14" s="9"/>
      <c r="T14" s="9"/>
      <c r="U14" s="1290"/>
      <c r="V14" s="9"/>
      <c r="W14" s="9"/>
      <c r="X14" s="9"/>
      <c r="Y14" s="9"/>
    </row>
    <row r="15" spans="1:25">
      <c r="A15" s="1485"/>
      <c r="B15" s="1797"/>
      <c r="C15" s="1276" t="s">
        <v>20</v>
      </c>
      <c r="D15" s="647">
        <f>'10.QH,nd e costi'!D106</f>
        <v>158.78327182666663</v>
      </c>
      <c r="E15" s="647">
        <f>'10.QH,nd e costi'!E106</f>
        <v>26.578031039999999</v>
      </c>
      <c r="F15" s="647">
        <f>'10.QH,nd e costi'!F106</f>
        <v>33.111354057112315</v>
      </c>
      <c r="G15" s="647">
        <f>'10.QH,nd e costi'!G106</f>
        <v>4.1330357002775653</v>
      </c>
      <c r="H15" s="647">
        <f>'10.QH,nd e costi'!H106</f>
        <v>149.18092707808901</v>
      </c>
      <c r="I15" s="597">
        <f t="shared" si="3"/>
        <v>2.3382202135617376E-2</v>
      </c>
      <c r="J15" s="598">
        <f t="shared" si="4"/>
        <v>2.3382202135617376E-2</v>
      </c>
      <c r="K15" s="599">
        <f t="shared" si="0"/>
        <v>149180.92707808901</v>
      </c>
      <c r="L15" s="599">
        <f t="shared" si="5"/>
        <v>200.51199876087233</v>
      </c>
      <c r="M15" s="1291">
        <f t="shared" si="1"/>
        <v>2</v>
      </c>
      <c r="N15" s="1087" t="str">
        <f t="shared" si="2"/>
        <v>LETTO 2</v>
      </c>
      <c r="O15" s="1093"/>
      <c r="P15" s="1485"/>
      <c r="R15" s="9"/>
      <c r="S15" s="9"/>
      <c r="T15" s="9"/>
      <c r="U15" s="1290"/>
      <c r="V15" s="9"/>
      <c r="W15" s="9"/>
      <c r="X15" s="9"/>
      <c r="Y15" s="9"/>
    </row>
    <row r="16" spans="1:25">
      <c r="A16" s="1485"/>
      <c r="B16" s="1797"/>
      <c r="C16" s="1276" t="s">
        <v>586</v>
      </c>
      <c r="D16" s="647">
        <f>'10.QH,nd e costi'!D107</f>
        <v>63.06813641333332</v>
      </c>
      <c r="E16" s="647">
        <f>'10.QH,nd e costi'!E107</f>
        <v>30.348448200000007</v>
      </c>
      <c r="F16" s="647">
        <f>'10.QH,nd e costi'!F107</f>
        <v>14.510249834382929</v>
      </c>
      <c r="G16" s="647">
        <f>'10.QH,nd e costi'!G107</f>
        <v>1.4035203258170648</v>
      </c>
      <c r="H16" s="647">
        <f>'10.QH,nd e costi'!H107</f>
        <v>77.957445979041509</v>
      </c>
      <c r="I16" s="597">
        <f t="shared" si="3"/>
        <v>1.2218832497965801E-2</v>
      </c>
      <c r="J16" s="598">
        <f t="shared" si="4"/>
        <v>1.2218832497965801E-2</v>
      </c>
      <c r="K16" s="599">
        <f t="shared" si="0"/>
        <v>77957.445979041513</v>
      </c>
      <c r="L16" s="599">
        <f t="shared" si="5"/>
        <v>104.7815134126902</v>
      </c>
      <c r="M16" s="1291">
        <f t="shared" si="1"/>
        <v>1</v>
      </c>
      <c r="N16" s="1087" t="str">
        <f t="shared" si="2"/>
        <v>BAGNO 1</v>
      </c>
      <c r="O16" s="1093"/>
      <c r="P16" s="1485"/>
      <c r="R16" s="9"/>
      <c r="S16" s="9"/>
      <c r="T16" s="9"/>
      <c r="U16" s="1290"/>
      <c r="V16" s="9"/>
      <c r="W16" s="9"/>
      <c r="X16" s="9"/>
      <c r="Y16" s="9"/>
    </row>
    <row r="17" spans="1:25">
      <c r="A17" s="1485"/>
      <c r="B17" s="1797"/>
      <c r="C17" s="1276" t="s">
        <v>19</v>
      </c>
      <c r="D17" s="647">
        <f>'10.QH,nd e costi'!D108</f>
        <v>147.08151127999997</v>
      </c>
      <c r="E17" s="647">
        <f>'10.QH,nd e costi'!E108</f>
        <v>9.2243694239999989</v>
      </c>
      <c r="F17" s="647">
        <f>'10.QH,nd e costi'!F108</f>
        <v>48.914500311643195</v>
      </c>
      <c r="G17" s="647">
        <f>'10.QH,nd e costi'!G108</f>
        <v>0</v>
      </c>
      <c r="H17" s="647">
        <f>'10.QH,nd e costi'!H108</f>
        <v>108.78879116880088</v>
      </c>
      <c r="I17" s="597">
        <f t="shared" si="3"/>
        <v>1.7051251490526356E-2</v>
      </c>
      <c r="J17" s="598">
        <f t="shared" si="4"/>
        <v>1.7051251490526356E-2</v>
      </c>
      <c r="K17" s="599">
        <f t="shared" si="0"/>
        <v>108788.79116880089</v>
      </c>
      <c r="L17" s="599">
        <f t="shared" si="5"/>
        <v>146.22149350645282</v>
      </c>
      <c r="M17" s="1291">
        <f t="shared" si="1"/>
        <v>2</v>
      </c>
      <c r="N17" s="1087" t="str">
        <f t="shared" si="2"/>
        <v>LETTO 1</v>
      </c>
      <c r="O17" s="1093"/>
      <c r="P17" s="1485"/>
      <c r="R17" s="9"/>
      <c r="S17" s="9"/>
      <c r="T17" s="9"/>
      <c r="U17" s="1290"/>
      <c r="V17" s="9"/>
      <c r="W17" s="9"/>
      <c r="X17" s="9"/>
      <c r="Y17" s="9"/>
    </row>
    <row r="18" spans="1:25">
      <c r="A18" s="1485"/>
      <c r="B18" s="1798"/>
      <c r="C18" s="1276" t="s">
        <v>588</v>
      </c>
      <c r="D18" s="647">
        <f>'10.QH,nd e costi'!D109</f>
        <v>34.53238799999999</v>
      </c>
      <c r="E18" s="647">
        <f>'10.QH,nd e costi'!E109</f>
        <v>19.680213599999998</v>
      </c>
      <c r="F18" s="647">
        <f>'10.QH,nd e costi'!F109</f>
        <v>24.517938121468795</v>
      </c>
      <c r="G18" s="647">
        <f>'10.QH,nd e costi'!G109</f>
        <v>0</v>
      </c>
      <c r="H18" s="647">
        <f>'10.QH,nd e costi'!H109</f>
        <v>30.395102627021782</v>
      </c>
      <c r="I18" s="597">
        <f t="shared" si="3"/>
        <v>4.7640435508611535E-3</v>
      </c>
      <c r="J18" s="598">
        <f t="shared" si="4"/>
        <v>4.7640435508611535E-3</v>
      </c>
      <c r="K18" s="599">
        <f t="shared" si="0"/>
        <v>30395.102627021781</v>
      </c>
      <c r="L18" s="599">
        <f t="shared" si="5"/>
        <v>40.853632563201316</v>
      </c>
      <c r="M18" s="1291">
        <f t="shared" si="1"/>
        <v>0</v>
      </c>
      <c r="N18" s="1089" t="str">
        <f t="shared" si="2"/>
        <v>DISIMPEGNO</v>
      </c>
      <c r="O18" s="1096"/>
      <c r="P18" s="1485"/>
      <c r="R18" s="9"/>
      <c r="S18" s="9"/>
      <c r="T18" s="9"/>
      <c r="U18" s="1290"/>
      <c r="V18" s="9"/>
      <c r="W18" s="9"/>
      <c r="X18" s="9"/>
      <c r="Y18" s="9"/>
    </row>
    <row r="19" spans="1:25">
      <c r="A19" s="1485"/>
      <c r="B19" s="1799" t="s">
        <v>810</v>
      </c>
      <c r="C19" s="1275" t="s">
        <v>9</v>
      </c>
      <c r="D19" s="1154">
        <f>'10.QH,nd e costi'!D110</f>
        <v>161.01222059999998</v>
      </c>
      <c r="E19" s="1154">
        <f>'10.QH,nd e costi'!E110</f>
        <v>28.877303519999998</v>
      </c>
      <c r="F19" s="1154">
        <f>'10.QH,nd e costi'!F110</f>
        <v>35.975826035660162</v>
      </c>
      <c r="G19" s="1154">
        <f>'10.QH,nd e costi'!G110</f>
        <v>2.8673420971959702</v>
      </c>
      <c r="H19" s="1154">
        <f>'10.QH,nd e costi'!H110</f>
        <v>152.15604455381131</v>
      </c>
      <c r="I19" s="1155">
        <f t="shared" si="3"/>
        <v>2.3848513744997125E-2</v>
      </c>
      <c r="J19" s="1156">
        <f t="shared" si="4"/>
        <v>2.3848513744997125E-2</v>
      </c>
      <c r="K19" s="1157">
        <f t="shared" si="0"/>
        <v>152156.04455381131</v>
      </c>
      <c r="L19" s="1157">
        <f>K19/(31*24)</f>
        <v>204.51081257232704</v>
      </c>
      <c r="M19" s="1291">
        <f t="shared" si="1"/>
        <v>2</v>
      </c>
      <c r="N19" s="1088" t="str">
        <f t="shared" si="2"/>
        <v>CUCINA</v>
      </c>
      <c r="O19" s="1092">
        <f>SUM(M19:M28)</f>
        <v>17</v>
      </c>
      <c r="P19" s="1485"/>
      <c r="R19" s="2065"/>
      <c r="S19" s="9"/>
      <c r="T19" s="9"/>
      <c r="U19" s="9"/>
      <c r="V19" s="9"/>
      <c r="W19" s="9"/>
      <c r="X19" s="9"/>
      <c r="Y19" s="9"/>
    </row>
    <row r="20" spans="1:25">
      <c r="A20" s="1485"/>
      <c r="B20" s="1800"/>
      <c r="C20" s="1276" t="s">
        <v>804</v>
      </c>
      <c r="D20" s="647">
        <f>'10.QH,nd e costi'!D111</f>
        <v>543.94200344000001</v>
      </c>
      <c r="E20" s="647">
        <f>'10.QH,nd e costi'!E111</f>
        <v>73.187012159999981</v>
      </c>
      <c r="F20" s="647">
        <f>'10.QH,nd e costi'!F111</f>
        <v>91.177599588353274</v>
      </c>
      <c r="G20" s="647">
        <f>'10.QH,nd e costi'!G111</f>
        <v>0.12717727255316824</v>
      </c>
      <c r="H20" s="647">
        <f>'10.QH,nd e costi'!H111</f>
        <v>528.43267342233378</v>
      </c>
      <c r="I20" s="597">
        <f t="shared" si="3"/>
        <v>8.282506233895412E-2</v>
      </c>
      <c r="J20" s="598">
        <f t="shared" si="4"/>
        <v>8.282506233895412E-2</v>
      </c>
      <c r="K20" s="599">
        <f t="shared" si="0"/>
        <v>528432.67342233378</v>
      </c>
      <c r="L20" s="599">
        <f t="shared" si="5"/>
        <v>710.2589696536744</v>
      </c>
      <c r="M20" s="1291">
        <f t="shared" si="1"/>
        <v>7</v>
      </c>
      <c r="N20" s="1087" t="str">
        <f t="shared" si="2"/>
        <v>PRANZO - SOGGIORNO</v>
      </c>
      <c r="O20" s="1093"/>
      <c r="P20" s="1485"/>
      <c r="R20" s="9"/>
      <c r="S20" s="9"/>
      <c r="T20" s="9"/>
      <c r="U20" s="9"/>
      <c r="V20" s="9"/>
      <c r="W20" s="9"/>
      <c r="X20" s="9"/>
      <c r="Y20" s="9"/>
    </row>
    <row r="21" spans="1:25">
      <c r="A21" s="1485"/>
      <c r="B21" s="1800"/>
      <c r="C21" s="1276" t="s">
        <v>22</v>
      </c>
      <c r="D21" s="647">
        <f>'10.QH,nd e costi'!D112</f>
        <v>16.750192800000001</v>
      </c>
      <c r="E21" s="647">
        <f>'10.QH,nd e costi'!E112</f>
        <v>11.6471790864</v>
      </c>
      <c r="F21" s="647">
        <f>'10.QH,nd e costi'!F112</f>
        <v>11.491873174953792</v>
      </c>
      <c r="G21" s="647">
        <f>'10.QH,nd e costi'!G112</f>
        <v>1.7255483221473424</v>
      </c>
      <c r="H21" s="647">
        <f>'10.QH,nd e costi'!H112</f>
        <v>15.557551450725974</v>
      </c>
      <c r="I21" s="597">
        <f t="shared" si="3"/>
        <v>2.4384471921516221E-3</v>
      </c>
      <c r="J21" s="598">
        <f t="shared" si="4"/>
        <v>2.4384471921516221E-3</v>
      </c>
      <c r="K21" s="599">
        <f t="shared" si="0"/>
        <v>15557.551450725974</v>
      </c>
      <c r="L21" s="599">
        <f t="shared" si="5"/>
        <v>20.910687433771471</v>
      </c>
      <c r="M21" s="1291">
        <f t="shared" si="1"/>
        <v>0</v>
      </c>
      <c r="N21" s="1087" t="str">
        <f t="shared" si="2"/>
        <v>RIPOSTIGLIO</v>
      </c>
      <c r="O21" s="1093"/>
      <c r="P21" s="1485"/>
      <c r="R21" s="9"/>
      <c r="S21" s="9"/>
      <c r="T21" s="9"/>
      <c r="U21" s="9"/>
      <c r="V21" s="9"/>
      <c r="W21" s="9"/>
      <c r="X21" s="9"/>
      <c r="Y21" s="9"/>
    </row>
    <row r="22" spans="1:25">
      <c r="A22" s="1485"/>
      <c r="B22" s="1800"/>
      <c r="C22" s="1276" t="s">
        <v>803</v>
      </c>
      <c r="D22" s="647">
        <f>'10.QH,nd e costi'!D113</f>
        <v>27.705295199999998</v>
      </c>
      <c r="E22" s="647">
        <f>'10.QH,nd e costi'!E113</f>
        <v>10.75591872</v>
      </c>
      <c r="F22" s="647">
        <f>'10.QH,nd e costi'!F113</f>
        <v>5.7774943296134387</v>
      </c>
      <c r="G22" s="647">
        <f>'10.QH,nd e costi'!G113</f>
        <v>4.8225091154297086</v>
      </c>
      <c r="H22" s="647">
        <f>'10.QH,nd e costi'!H113</f>
        <v>28.164035996020637</v>
      </c>
      <c r="I22" s="597">
        <f t="shared" si="3"/>
        <v>4.4143523941840498E-3</v>
      </c>
      <c r="J22" s="598">
        <f t="shared" si="4"/>
        <v>4.4143523941840498E-3</v>
      </c>
      <c r="K22" s="599">
        <f t="shared" si="0"/>
        <v>28164.035996020637</v>
      </c>
      <c r="L22" s="599">
        <f t="shared" si="5"/>
        <v>37.854887091425589</v>
      </c>
      <c r="M22" s="1291">
        <f t="shared" si="1"/>
        <v>1</v>
      </c>
      <c r="N22" s="1087" t="str">
        <f t="shared" si="2"/>
        <v>BAGNO 3</v>
      </c>
      <c r="O22" s="1093"/>
      <c r="P22" s="1485"/>
      <c r="R22" s="9"/>
      <c r="S22" s="9"/>
      <c r="T22" s="9"/>
      <c r="U22" s="9"/>
      <c r="V22" s="9"/>
      <c r="W22" s="9"/>
      <c r="X22" s="9"/>
      <c r="Y22" s="9"/>
    </row>
    <row r="23" spans="1:25">
      <c r="A23" s="1485"/>
      <c r="B23" s="1800"/>
      <c r="C23" s="1276" t="s">
        <v>802</v>
      </c>
      <c r="D23" s="647">
        <f>'10.QH,nd e costi'!D114</f>
        <v>114.13240901333333</v>
      </c>
      <c r="E23" s="647">
        <f>'10.QH,nd e costi'!E114</f>
        <v>4.6375156799999999</v>
      </c>
      <c r="F23" s="647">
        <f>'10.QH,nd e costi'!F114</f>
        <v>37.808602598205603</v>
      </c>
      <c r="G23" s="647">
        <f>'10.QH,nd e costi'!G114</f>
        <v>0</v>
      </c>
      <c r="H23" s="647">
        <f>'10.QH,nd e costi'!H114</f>
        <v>82.041454742428812</v>
      </c>
      <c r="I23" s="597">
        <f t="shared" si="3"/>
        <v>1.2858948632779529E-2</v>
      </c>
      <c r="J23" s="598">
        <f t="shared" si="4"/>
        <v>1.2858948632779529E-2</v>
      </c>
      <c r="K23" s="599">
        <f t="shared" si="0"/>
        <v>82041.454742428818</v>
      </c>
      <c r="L23" s="599">
        <f t="shared" si="5"/>
        <v>110.27077250326454</v>
      </c>
      <c r="M23" s="1291">
        <f t="shared" si="1"/>
        <v>1</v>
      </c>
      <c r="N23" s="1087" t="str">
        <f t="shared" si="2"/>
        <v>LETTO 3</v>
      </c>
      <c r="O23" s="1093"/>
      <c r="P23" s="1485"/>
      <c r="R23" s="9"/>
      <c r="S23" s="9"/>
      <c r="T23" s="9"/>
      <c r="U23" s="9"/>
      <c r="V23" s="9"/>
      <c r="W23" s="9"/>
      <c r="X23" s="9"/>
      <c r="Y23" s="9"/>
    </row>
    <row r="24" spans="1:25">
      <c r="A24" s="1485"/>
      <c r="B24" s="1800"/>
      <c r="C24" s="1276" t="s">
        <v>587</v>
      </c>
      <c r="D24" s="647">
        <f>'10.QH,nd e costi'!D115</f>
        <v>59.098896413333314</v>
      </c>
      <c r="E24" s="647">
        <f>'10.QH,nd e costi'!E115</f>
        <v>39.263000399999996</v>
      </c>
      <c r="F24" s="647">
        <f>'10.QH,nd e costi'!F115</f>
        <v>13.399902814901758</v>
      </c>
      <c r="G24" s="647">
        <f>'10.QH,nd e costi'!G115</f>
        <v>1.7308818435057003</v>
      </c>
      <c r="H24" s="647">
        <f>'10.QH,nd e costi'!H115</f>
        <v>83.663375009559999</v>
      </c>
      <c r="I24" s="597">
        <f t="shared" si="3"/>
        <v>1.3113163888554581E-2</v>
      </c>
      <c r="J24" s="598">
        <f t="shared" si="4"/>
        <v>1.3113163888554581E-2</v>
      </c>
      <c r="K24" s="599">
        <f t="shared" si="0"/>
        <v>83663.375009559997</v>
      </c>
      <c r="L24" s="599">
        <f t="shared" si="5"/>
        <v>112.45077286231182</v>
      </c>
      <c r="M24" s="1291">
        <f t="shared" si="1"/>
        <v>1</v>
      </c>
      <c r="N24" s="1087" t="str">
        <f t="shared" si="2"/>
        <v>BAGNO 2</v>
      </c>
      <c r="O24" s="1093"/>
      <c r="P24" s="1485"/>
      <c r="R24" s="9"/>
      <c r="S24" s="9"/>
      <c r="T24" s="9"/>
      <c r="U24" s="9"/>
      <c r="V24" s="9"/>
      <c r="W24" s="9"/>
      <c r="X24" s="9"/>
      <c r="Y24" s="9"/>
    </row>
    <row r="25" spans="1:25">
      <c r="A25" s="1485"/>
      <c r="B25" s="1800"/>
      <c r="C25" s="1276" t="s">
        <v>20</v>
      </c>
      <c r="D25" s="647">
        <f>'10.QH,nd e costi'!D116</f>
        <v>158.78327182666663</v>
      </c>
      <c r="E25" s="647">
        <f>'10.QH,nd e costi'!E116</f>
        <v>26.578031039999999</v>
      </c>
      <c r="F25" s="647">
        <f>'10.QH,nd e costi'!F116</f>
        <v>33.111354057112315</v>
      </c>
      <c r="G25" s="647">
        <f>'10.QH,nd e costi'!G116</f>
        <v>8.2910240608544186</v>
      </c>
      <c r="H25" s="647">
        <f>'10.QH,nd e costi'!H116</f>
        <v>145.14172594228967</v>
      </c>
      <c r="I25" s="597">
        <f t="shared" si="3"/>
        <v>2.2749109023290501E-2</v>
      </c>
      <c r="J25" s="598">
        <f t="shared" si="4"/>
        <v>2.2749109023290501E-2</v>
      </c>
      <c r="K25" s="599">
        <f t="shared" si="0"/>
        <v>145141.72594228966</v>
      </c>
      <c r="L25" s="599">
        <f t="shared" si="5"/>
        <v>195.08296497619577</v>
      </c>
      <c r="M25" s="1291">
        <f t="shared" si="1"/>
        <v>2</v>
      </c>
      <c r="N25" s="1087" t="str">
        <f t="shared" si="2"/>
        <v>LETTO 2</v>
      </c>
      <c r="O25" s="1093"/>
      <c r="P25" s="1485"/>
    </row>
    <row r="26" spans="1:25">
      <c r="A26" s="1485"/>
      <c r="B26" s="1800"/>
      <c r="C26" s="1276" t="s">
        <v>586</v>
      </c>
      <c r="D26" s="647">
        <f>'10.QH,nd e costi'!D117</f>
        <v>63.06813641333332</v>
      </c>
      <c r="E26" s="647">
        <f>'10.QH,nd e costi'!E117</f>
        <v>30.348448200000007</v>
      </c>
      <c r="F26" s="647">
        <f>'10.QH,nd e costi'!F117</f>
        <v>14.510249834382929</v>
      </c>
      <c r="G26" s="647">
        <f>'10.QH,nd e costi'!G117</f>
        <v>9.6293714207519905</v>
      </c>
      <c r="H26" s="647">
        <f>'10.QH,nd e costi'!H117</f>
        <v>69.966594585468144</v>
      </c>
      <c r="I26" s="597">
        <f t="shared" si="3"/>
        <v>1.0966368753573005E-2</v>
      </c>
      <c r="J26" s="598">
        <f t="shared" si="4"/>
        <v>1.0966368753573005E-2</v>
      </c>
      <c r="K26" s="599">
        <f t="shared" si="0"/>
        <v>69966.594585468149</v>
      </c>
      <c r="L26" s="599">
        <f t="shared" si="5"/>
        <v>94.041121754661489</v>
      </c>
      <c r="M26" s="1291">
        <f t="shared" si="1"/>
        <v>1</v>
      </c>
      <c r="N26" s="1087" t="str">
        <f t="shared" si="2"/>
        <v>BAGNO 1</v>
      </c>
      <c r="O26" s="1093"/>
      <c r="P26" s="1485"/>
    </row>
    <row r="27" spans="1:25">
      <c r="A27" s="1485"/>
      <c r="B27" s="1800"/>
      <c r="C27" s="1276" t="s">
        <v>19</v>
      </c>
      <c r="D27" s="647">
        <f>'10.QH,nd e costi'!D118</f>
        <v>147.08151127999997</v>
      </c>
      <c r="E27" s="647">
        <f>'10.QH,nd e costi'!E118</f>
        <v>9.2243694239999989</v>
      </c>
      <c r="F27" s="647">
        <f>'10.QH,nd e costi'!F118</f>
        <v>48.914500311643195</v>
      </c>
      <c r="G27" s="647">
        <f>'10.QH,nd e costi'!G118</f>
        <v>0</v>
      </c>
      <c r="H27" s="647">
        <f>'10.QH,nd e costi'!H118</f>
        <v>108.78879116880088</v>
      </c>
      <c r="I27" s="597">
        <f t="shared" si="3"/>
        <v>1.7051251490526356E-2</v>
      </c>
      <c r="J27" s="598">
        <f t="shared" si="4"/>
        <v>1.7051251490526356E-2</v>
      </c>
      <c r="K27" s="599">
        <f t="shared" si="0"/>
        <v>108788.79116880089</v>
      </c>
      <c r="L27" s="599">
        <f t="shared" si="5"/>
        <v>146.22149350645282</v>
      </c>
      <c r="M27" s="1291">
        <f t="shared" si="1"/>
        <v>2</v>
      </c>
      <c r="N27" s="1087" t="str">
        <f t="shared" si="2"/>
        <v>LETTO 1</v>
      </c>
      <c r="O27" s="1093"/>
      <c r="P27" s="1485"/>
    </row>
    <row r="28" spans="1:25">
      <c r="A28" s="1486"/>
      <c r="B28" s="1801"/>
      <c r="C28" s="1276" t="s">
        <v>588</v>
      </c>
      <c r="D28" s="648">
        <f>'10.QH,nd e costi'!D119</f>
        <v>34.53238799999999</v>
      </c>
      <c r="E28" s="648">
        <f>'10.QH,nd e costi'!E119</f>
        <v>19.680213599999998</v>
      </c>
      <c r="F28" s="648">
        <f>'10.QH,nd e costi'!F119</f>
        <v>24.517938121468795</v>
      </c>
      <c r="G28" s="648">
        <f>'10.QH,nd e costi'!G119</f>
        <v>0</v>
      </c>
      <c r="H28" s="648">
        <f>'10.QH,nd e costi'!H119</f>
        <v>30.395102627021782</v>
      </c>
      <c r="I28" s="644">
        <f t="shared" si="3"/>
        <v>4.7640435508611535E-3</v>
      </c>
      <c r="J28" s="1158">
        <f t="shared" si="4"/>
        <v>4.7640435508611535E-3</v>
      </c>
      <c r="K28" s="1159">
        <f t="shared" si="0"/>
        <v>30395.102627021781</v>
      </c>
      <c r="L28" s="1159">
        <f t="shared" si="5"/>
        <v>40.853632563201316</v>
      </c>
      <c r="M28" s="1291">
        <f t="shared" si="1"/>
        <v>0</v>
      </c>
      <c r="N28" s="1087" t="str">
        <f t="shared" si="2"/>
        <v>DISIMPEGNO</v>
      </c>
      <c r="O28" s="1093"/>
      <c r="P28" s="1486"/>
    </row>
    <row r="29" spans="1:25" ht="15" customHeight="1">
      <c r="A29" s="1369" t="s">
        <v>835</v>
      </c>
      <c r="B29" s="1796" t="s">
        <v>809</v>
      </c>
      <c r="C29" s="1275" t="s">
        <v>9</v>
      </c>
      <c r="D29" s="647">
        <f>'10.QH,nd e costi'!D120</f>
        <v>121.161051</v>
      </c>
      <c r="E29" s="647">
        <f>'10.QH,nd e costi'!E120</f>
        <v>28.877303519999998</v>
      </c>
      <c r="F29" s="647">
        <f>'10.QH,nd e costi'!F120</f>
        <v>35.975826035660162</v>
      </c>
      <c r="G29" s="647">
        <f>'10.QH,nd e costi'!G120</f>
        <v>6.8494823998406735</v>
      </c>
      <c r="H29" s="647">
        <f>'10.QH,nd e costi'!H120</f>
        <v>108.43649817193807</v>
      </c>
      <c r="I29" s="597">
        <f t="shared" si="3"/>
        <v>1.6996034069472945E-2</v>
      </c>
      <c r="J29" s="598">
        <f t="shared" si="4"/>
        <v>1.6996034069472945E-2</v>
      </c>
      <c r="K29" s="599">
        <f t="shared" si="0"/>
        <v>108436.49817193807</v>
      </c>
      <c r="L29" s="599">
        <f t="shared" si="5"/>
        <v>145.74798141389527</v>
      </c>
      <c r="M29" s="1291">
        <f t="shared" si="1"/>
        <v>2</v>
      </c>
      <c r="N29" s="1087" t="str">
        <f t="shared" si="2"/>
        <v>CUCINA</v>
      </c>
      <c r="O29" s="1092">
        <f>SUM(M29:M38)</f>
        <v>14</v>
      </c>
      <c r="P29" s="1369" t="s">
        <v>835</v>
      </c>
    </row>
    <row r="30" spans="1:25">
      <c r="A30" s="1370"/>
      <c r="B30" s="1797"/>
      <c r="C30" s="1276" t="s">
        <v>804</v>
      </c>
      <c r="D30" s="647">
        <f>'10.QH,nd e costi'!D121</f>
        <v>443.04392264000001</v>
      </c>
      <c r="E30" s="647">
        <f>'10.QH,nd e costi'!E121</f>
        <v>73.187012159999981</v>
      </c>
      <c r="F30" s="647">
        <f>'10.QH,nd e costi'!F121</f>
        <v>91.177599588353274</v>
      </c>
      <c r="G30" s="647">
        <f>'10.QH,nd e costi'!G121</f>
        <v>25.760910916147875</v>
      </c>
      <c r="H30" s="647">
        <f>'10.QH,nd e costi'!H121</f>
        <v>402.63317466030253</v>
      </c>
      <c r="I30" s="597">
        <f t="shared" si="3"/>
        <v>6.3107600018362395E-2</v>
      </c>
      <c r="J30" s="598">
        <f t="shared" si="4"/>
        <v>6.3107600018362395E-2</v>
      </c>
      <c r="K30" s="599">
        <f t="shared" si="0"/>
        <v>402633.17466030252</v>
      </c>
      <c r="L30" s="599">
        <f t="shared" si="5"/>
        <v>541.1736218552453</v>
      </c>
      <c r="M30" s="1291">
        <f t="shared" si="1"/>
        <v>5</v>
      </c>
      <c r="N30" s="1087" t="str">
        <f t="shared" si="2"/>
        <v>PRANZO - SOGGIORNO</v>
      </c>
      <c r="O30" s="1093"/>
      <c r="P30" s="1370"/>
    </row>
    <row r="31" spans="1:25">
      <c r="A31" s="1370"/>
      <c r="B31" s="1797"/>
      <c r="C31" s="1276" t="s">
        <v>22</v>
      </c>
      <c r="D31" s="647">
        <f>'10.QH,nd e costi'!D122</f>
        <v>4.0486247999999998</v>
      </c>
      <c r="E31" s="647">
        <f>'10.QH,nd e costi'!E122</f>
        <v>11.6471790864</v>
      </c>
      <c r="F31" s="647">
        <f>'10.QH,nd e costi'!F122</f>
        <v>11.491873174953792</v>
      </c>
      <c r="G31" s="647">
        <f>'10.QH,nd e costi'!G122</f>
        <v>8.4534116554806751</v>
      </c>
      <c r="H31" s="647">
        <f>'10.QH,nd e costi'!H122</f>
        <v>-3.6796753488894645</v>
      </c>
      <c r="I31" s="597">
        <f t="shared" si="3"/>
        <v>-5.7674204394871889E-4</v>
      </c>
      <c r="J31" s="598">
        <f t="shared" si="4"/>
        <v>-5.7674204394871889E-4</v>
      </c>
      <c r="K31" s="599">
        <f t="shared" si="0"/>
        <v>-3679.6753488894647</v>
      </c>
      <c r="L31" s="599">
        <f t="shared" si="5"/>
        <v>-4.9458002001202486</v>
      </c>
      <c r="M31" s="1291">
        <f t="shared" si="1"/>
        <v>0</v>
      </c>
      <c r="N31" s="1087" t="str">
        <f t="shared" si="2"/>
        <v>RIPOSTIGLIO</v>
      </c>
      <c r="O31" s="1093"/>
      <c r="P31" s="1370"/>
    </row>
    <row r="32" spans="1:25">
      <c r="A32" s="1370"/>
      <c r="B32" s="1797"/>
      <c r="C32" s="1276" t="s">
        <v>803</v>
      </c>
      <c r="D32" s="647">
        <f>'10.QH,nd e costi'!D123</f>
        <v>21.275126399999994</v>
      </c>
      <c r="E32" s="647">
        <f>'10.QH,nd e costi'!E123</f>
        <v>10.75591872</v>
      </c>
      <c r="F32" s="647">
        <f>'10.QH,nd e costi'!F123</f>
        <v>5.7774943296134387</v>
      </c>
      <c r="G32" s="647">
        <f>'10.QH,nd e costi'!G123</f>
        <v>3.4665544272526079</v>
      </c>
      <c r="H32" s="647">
        <f>'10.QH,nd e costi'!H123</f>
        <v>23.051084379336057</v>
      </c>
      <c r="I32" s="597">
        <f t="shared" si="3"/>
        <v>3.6129626283973632E-3</v>
      </c>
      <c r="J32" s="598">
        <f t="shared" si="4"/>
        <v>3.6129626283973632E-3</v>
      </c>
      <c r="K32" s="599">
        <f t="shared" si="0"/>
        <v>23051.084379336058</v>
      </c>
      <c r="L32" s="599">
        <f t="shared" si="5"/>
        <v>30.982640294806529</v>
      </c>
      <c r="M32" s="1291">
        <f t="shared" si="1"/>
        <v>1</v>
      </c>
      <c r="N32" s="1087" t="str">
        <f t="shared" si="2"/>
        <v>BAGNO 3</v>
      </c>
      <c r="O32" s="1093"/>
      <c r="P32" s="1370"/>
    </row>
    <row r="33" spans="1:16">
      <c r="A33" s="1370"/>
      <c r="B33" s="1797"/>
      <c r="C33" s="1276" t="s">
        <v>802</v>
      </c>
      <c r="D33" s="647">
        <f>'10.QH,nd e costi'!D124</f>
        <v>72.296619413333332</v>
      </c>
      <c r="E33" s="647">
        <f>'10.QH,nd e costi'!E124</f>
        <v>4.6375156799999999</v>
      </c>
      <c r="F33" s="647">
        <f>'10.QH,nd e costi'!F124</f>
        <v>37.808602598205603</v>
      </c>
      <c r="G33" s="647">
        <f>'10.QH,nd e costi'!G124</f>
        <v>0</v>
      </c>
      <c r="H33" s="647">
        <f>'10.QH,nd e costi'!H124</f>
        <v>40.205665142428821</v>
      </c>
      <c r="I33" s="597">
        <f t="shared" si="3"/>
        <v>6.301723737546696E-3</v>
      </c>
      <c r="J33" s="598">
        <f t="shared" si="4"/>
        <v>6.301723737546696E-3</v>
      </c>
      <c r="K33" s="599">
        <f t="shared" si="0"/>
        <v>40205.665142428821</v>
      </c>
      <c r="L33" s="599">
        <f t="shared" si="5"/>
        <v>54.039872503264547</v>
      </c>
      <c r="M33" s="1291">
        <f t="shared" si="1"/>
        <v>1</v>
      </c>
      <c r="N33" s="1087" t="str">
        <f t="shared" si="2"/>
        <v>LETTO 3</v>
      </c>
      <c r="O33" s="1093"/>
      <c r="P33" s="1370"/>
    </row>
    <row r="34" spans="1:16">
      <c r="A34" s="1370"/>
      <c r="B34" s="1797"/>
      <c r="C34" s="1276" t="s">
        <v>587</v>
      </c>
      <c r="D34" s="647">
        <f>'10.QH,nd e costi'!D125</f>
        <v>44.253938813333328</v>
      </c>
      <c r="E34" s="647">
        <f>'10.QH,nd e costi'!E125</f>
        <v>39.263000399999996</v>
      </c>
      <c r="F34" s="647">
        <f>'10.QH,nd e costi'!F125</f>
        <v>13.399902814901758</v>
      </c>
      <c r="G34" s="647">
        <f>'10.QH,nd e costi'!G125</f>
        <v>8.4587451768390345</v>
      </c>
      <c r="H34" s="647">
        <f>'10.QH,nd e costi'!H125</f>
        <v>62.28275860994458</v>
      </c>
      <c r="I34" s="597">
        <f t="shared" si="3"/>
        <v>9.7620257489034155E-3</v>
      </c>
      <c r="J34" s="598">
        <f t="shared" si="4"/>
        <v>9.7620257489034155E-3</v>
      </c>
      <c r="K34" s="599">
        <f t="shared" si="0"/>
        <v>62282.758609944576</v>
      </c>
      <c r="L34" s="599">
        <f t="shared" si="5"/>
        <v>83.713385228420123</v>
      </c>
      <c r="M34" s="1291">
        <f t="shared" si="1"/>
        <v>1</v>
      </c>
      <c r="N34" s="1087" t="str">
        <f t="shared" si="2"/>
        <v>BAGNO 2</v>
      </c>
      <c r="O34" s="1093"/>
      <c r="P34" s="1370"/>
    </row>
    <row r="35" spans="1:16">
      <c r="A35" s="1370"/>
      <c r="B35" s="1797"/>
      <c r="C35" s="1276" t="s">
        <v>20</v>
      </c>
      <c r="D35" s="647">
        <f>'10.QH,nd e costi'!D126</f>
        <v>122.10749422666663</v>
      </c>
      <c r="E35" s="647">
        <f>'10.QH,nd e costi'!E126</f>
        <v>26.578031039999999</v>
      </c>
      <c r="F35" s="647">
        <f>'10.QH,nd e costi'!F126</f>
        <v>33.111354057112315</v>
      </c>
      <c r="G35" s="647">
        <f>'10.QH,nd e costi'!G126</f>
        <v>20.351991950277565</v>
      </c>
      <c r="H35" s="647">
        <f>'10.QH,nd e costi'!H126</f>
        <v>96.749543443301803</v>
      </c>
      <c r="I35" s="597">
        <f t="shared" si="3"/>
        <v>1.5164253404430285E-2</v>
      </c>
      <c r="J35" s="598">
        <f t="shared" si="4"/>
        <v>1.5164253404430285E-2</v>
      </c>
      <c r="K35" s="599">
        <f t="shared" si="0"/>
        <v>96749.543443301809</v>
      </c>
      <c r="L35" s="599">
        <f t="shared" si="5"/>
        <v>130.03970892916911</v>
      </c>
      <c r="M35" s="1291">
        <f t="shared" si="1"/>
        <v>2</v>
      </c>
      <c r="N35" s="1087" t="str">
        <f t="shared" si="2"/>
        <v>LETTO 2</v>
      </c>
      <c r="O35" s="1093"/>
      <c r="P35" s="1370"/>
    </row>
    <row r="36" spans="1:16">
      <c r="A36" s="1370"/>
      <c r="B36" s="1797"/>
      <c r="C36" s="1276" t="s">
        <v>586</v>
      </c>
      <c r="D36" s="647">
        <f>'10.QH,nd e costi'!D127</f>
        <v>47.032406813333317</v>
      </c>
      <c r="E36" s="647">
        <f>'10.QH,nd e costi'!E127</f>
        <v>30.348448200000007</v>
      </c>
      <c r="F36" s="647">
        <f>'10.QH,nd e costi'!F127</f>
        <v>14.510249834382929</v>
      </c>
      <c r="G36" s="647">
        <f>'10.QH,nd e costi'!G127</f>
        <v>6.9299794924837306</v>
      </c>
      <c r="H36" s="647">
        <f>'10.QH,nd e costi'!H127</f>
        <v>56.553139507928826</v>
      </c>
      <c r="I36" s="597">
        <f t="shared" si="3"/>
        <v>8.8639812426288336E-3</v>
      </c>
      <c r="J36" s="598">
        <f t="shared" si="4"/>
        <v>8.8639812426288336E-3</v>
      </c>
      <c r="K36" s="599">
        <f t="shared" si="0"/>
        <v>56553.139507928827</v>
      </c>
      <c r="L36" s="599">
        <f t="shared" si="5"/>
        <v>76.01228428485058</v>
      </c>
      <c r="M36" s="1291">
        <f t="shared" si="1"/>
        <v>1</v>
      </c>
      <c r="N36" s="1087" t="str">
        <f t="shared" si="2"/>
        <v>BAGNO 1</v>
      </c>
      <c r="O36" s="1093"/>
      <c r="P36" s="1370"/>
    </row>
    <row r="37" spans="1:16">
      <c r="A37" s="1370"/>
      <c r="B37" s="1797"/>
      <c r="C37" s="1276" t="s">
        <v>19</v>
      </c>
      <c r="D37" s="647">
        <f>'10.QH,nd e costi'!D128</f>
        <v>92.941077679999992</v>
      </c>
      <c r="E37" s="647">
        <f>'10.QH,nd e costi'!E128</f>
        <v>9.2243694239999989</v>
      </c>
      <c r="F37" s="647">
        <f>'10.QH,nd e costi'!F128</f>
        <v>48.914500311643195</v>
      </c>
      <c r="G37" s="647">
        <f>'10.QH,nd e costi'!G128</f>
        <v>0</v>
      </c>
      <c r="H37" s="647">
        <f>'10.QH,nd e costi'!H128</f>
        <v>54.648357568800904</v>
      </c>
      <c r="I37" s="597">
        <f t="shared" si="3"/>
        <v>8.5654310378721031E-3</v>
      </c>
      <c r="J37" s="598">
        <f t="shared" si="4"/>
        <v>8.5654310378721031E-3</v>
      </c>
      <c r="K37" s="599">
        <f t="shared" si="0"/>
        <v>54648.3575688009</v>
      </c>
      <c r="L37" s="599">
        <f t="shared" si="5"/>
        <v>73.452093506452826</v>
      </c>
      <c r="M37" s="1291">
        <f t="shared" si="1"/>
        <v>1</v>
      </c>
      <c r="N37" s="1087" t="str">
        <f t="shared" si="2"/>
        <v>LETTO 1</v>
      </c>
      <c r="O37" s="1093"/>
      <c r="P37" s="1370"/>
    </row>
    <row r="38" spans="1:16">
      <c r="A38" s="1370"/>
      <c r="B38" s="1798"/>
      <c r="C38" s="1276" t="s">
        <v>588</v>
      </c>
      <c r="D38" s="647">
        <f>'10.QH,nd e costi'!D129</f>
        <v>7.3827863999999996</v>
      </c>
      <c r="E38" s="647">
        <f>'10.QH,nd e costi'!E129</f>
        <v>19.680213599999998</v>
      </c>
      <c r="F38" s="647">
        <f>'10.QH,nd e costi'!F129</f>
        <v>24.517938121468795</v>
      </c>
      <c r="G38" s="647">
        <f>'10.QH,nd e costi'!G129</f>
        <v>0</v>
      </c>
      <c r="H38" s="647">
        <f>'10.QH,nd e costi'!H129</f>
        <v>3.2455010270217954</v>
      </c>
      <c r="I38" s="597">
        <f t="shared" si="3"/>
        <v>5.0869077255066429E-4</v>
      </c>
      <c r="J38" s="598">
        <f t="shared" si="4"/>
        <v>5.0869077255066429E-4</v>
      </c>
      <c r="K38" s="599">
        <f t="shared" si="0"/>
        <v>3245.5010270217954</v>
      </c>
      <c r="L38" s="599">
        <f t="shared" si="5"/>
        <v>4.3622325632013377</v>
      </c>
      <c r="M38" s="1291">
        <f t="shared" si="1"/>
        <v>0</v>
      </c>
      <c r="N38" s="1089" t="str">
        <f t="shared" si="2"/>
        <v>DISIMPEGNO</v>
      </c>
      <c r="O38" s="1096"/>
      <c r="P38" s="1370"/>
    </row>
    <row r="39" spans="1:16">
      <c r="A39" s="1370"/>
      <c r="B39" s="1799" t="s">
        <v>810</v>
      </c>
      <c r="C39" s="1275" t="s">
        <v>9</v>
      </c>
      <c r="D39" s="1154">
        <f>'10.QH,nd e costi'!D130</f>
        <v>121.161051</v>
      </c>
      <c r="E39" s="1154">
        <f>'10.QH,nd e costi'!E130</f>
        <v>28.877303519999998</v>
      </c>
      <c r="F39" s="1154">
        <f>'10.QH,nd e costi'!F130</f>
        <v>35.975826035660162</v>
      </c>
      <c r="G39" s="1154">
        <f>'10.QH,nd e costi'!G130</f>
        <v>13.920260430529302</v>
      </c>
      <c r="H39" s="1154">
        <f>'10.QH,nd e costi'!H130</f>
        <v>101.56772121158596</v>
      </c>
      <c r="I39" s="1155">
        <f t="shared" si="3"/>
        <v>1.5919441139953514E-2</v>
      </c>
      <c r="J39" s="1156">
        <f t="shared" si="4"/>
        <v>1.5919441139953514E-2</v>
      </c>
      <c r="K39" s="1157">
        <f t="shared" si="0"/>
        <v>101567.72121158596</v>
      </c>
      <c r="L39" s="1157">
        <f t="shared" si="5"/>
        <v>136.51575431664779</v>
      </c>
      <c r="M39" s="1291">
        <f t="shared" si="1"/>
        <v>2</v>
      </c>
      <c r="N39" s="1088" t="str">
        <f t="shared" si="2"/>
        <v>CUCINA</v>
      </c>
      <c r="O39" s="1092">
        <f>SUM(M39:M48)</f>
        <v>13</v>
      </c>
      <c r="P39" s="1370"/>
    </row>
    <row r="40" spans="1:16">
      <c r="A40" s="1370"/>
      <c r="B40" s="1800"/>
      <c r="C40" s="1276" t="s">
        <v>804</v>
      </c>
      <c r="D40" s="647">
        <f>'10.QH,nd e costi'!D131</f>
        <v>443.04392264000001</v>
      </c>
      <c r="E40" s="647">
        <f>'10.QH,nd e costi'!E131</f>
        <v>73.187012159999981</v>
      </c>
      <c r="F40" s="647">
        <f>'10.QH,nd e costi'!F131</f>
        <v>91.177599588353274</v>
      </c>
      <c r="G40" s="647">
        <f>'10.QH,nd e costi'!G131</f>
        <v>37.866857300270652</v>
      </c>
      <c r="H40" s="647">
        <f>'10.QH,nd e costi'!H131</f>
        <v>390.87307623186666</v>
      </c>
      <c r="I40" s="597">
        <f t="shared" si="3"/>
        <v>6.1264355013962428E-2</v>
      </c>
      <c r="J40" s="598">
        <f t="shared" si="4"/>
        <v>6.1264355013962428E-2</v>
      </c>
      <c r="K40" s="599">
        <f t="shared" si="0"/>
        <v>390873.07623186667</v>
      </c>
      <c r="L40" s="599">
        <f t="shared" si="5"/>
        <v>525.36703794605739</v>
      </c>
      <c r="M40" s="1291">
        <f t="shared" si="1"/>
        <v>5</v>
      </c>
      <c r="N40" s="1087" t="str">
        <f t="shared" si="2"/>
        <v>PRANZO - SOGGIORNO</v>
      </c>
      <c r="O40" s="1093"/>
      <c r="P40" s="1370"/>
    </row>
    <row r="41" spans="1:16">
      <c r="A41" s="1370"/>
      <c r="B41" s="1800"/>
      <c r="C41" s="1276" t="s">
        <v>22</v>
      </c>
      <c r="D41" s="647">
        <f>'10.QH,nd e costi'!D132</f>
        <v>4.0486247999999998</v>
      </c>
      <c r="E41" s="647">
        <f>'10.QH,nd e costi'!E132</f>
        <v>11.6471790864</v>
      </c>
      <c r="F41" s="647">
        <f>'10.QH,nd e costi'!F132</f>
        <v>11.491873174953792</v>
      </c>
      <c r="G41" s="647">
        <f>'10.QH,nd e costi'!G132</f>
        <v>8.4534116554806751</v>
      </c>
      <c r="H41" s="647">
        <f>'10.QH,nd e costi'!H132</f>
        <v>-3.6796753488894645</v>
      </c>
      <c r="I41" s="597">
        <f t="shared" si="3"/>
        <v>-5.7674204394871889E-4</v>
      </c>
      <c r="J41" s="598">
        <f t="shared" si="4"/>
        <v>-5.7674204394871889E-4</v>
      </c>
      <c r="K41" s="599">
        <f t="shared" si="0"/>
        <v>-3679.6753488894647</v>
      </c>
      <c r="L41" s="599">
        <f t="shared" si="5"/>
        <v>-4.9458002001202486</v>
      </c>
      <c r="M41" s="1291">
        <f t="shared" si="1"/>
        <v>0</v>
      </c>
      <c r="N41" s="1087" t="str">
        <f t="shared" si="2"/>
        <v>RIPOSTIGLIO</v>
      </c>
      <c r="O41" s="1093"/>
      <c r="P41" s="1370"/>
    </row>
    <row r="42" spans="1:16">
      <c r="A42" s="1370"/>
      <c r="B42" s="1800"/>
      <c r="C42" s="1276" t="s">
        <v>803</v>
      </c>
      <c r="D42" s="647">
        <f>'10.QH,nd e costi'!D133</f>
        <v>21.275126399999994</v>
      </c>
      <c r="E42" s="647">
        <f>'10.QH,nd e costi'!E133</f>
        <v>10.75591872</v>
      </c>
      <c r="F42" s="647">
        <f>'10.QH,nd e costi'!F133</f>
        <v>5.7774943296134387</v>
      </c>
      <c r="G42" s="647">
        <f>'10.QH,nd e costi'!G133</f>
        <v>23.86219661542971</v>
      </c>
      <c r="H42" s="647">
        <f>'10.QH,nd e costi'!H133</f>
        <v>3.2381137917001226</v>
      </c>
      <c r="I42" s="597">
        <f t="shared" si="3"/>
        <v>5.0753291790464562E-4</v>
      </c>
      <c r="J42" s="598">
        <f t="shared" si="4"/>
        <v>5.0753291790464562E-4</v>
      </c>
      <c r="K42" s="599">
        <f t="shared" si="0"/>
        <v>3238.1137917001224</v>
      </c>
      <c r="L42" s="599">
        <f t="shared" si="5"/>
        <v>4.3523034834679066</v>
      </c>
      <c r="M42" s="1291">
        <f t="shared" si="1"/>
        <v>1</v>
      </c>
      <c r="N42" s="1087" t="str">
        <f t="shared" si="2"/>
        <v>BAGNO 3</v>
      </c>
      <c r="O42" s="1093"/>
      <c r="P42" s="1370"/>
    </row>
    <row r="43" spans="1:16">
      <c r="A43" s="1370"/>
      <c r="B43" s="1800"/>
      <c r="C43" s="1276" t="s">
        <v>802</v>
      </c>
      <c r="D43" s="647">
        <f>'10.QH,nd e costi'!D134</f>
        <v>72.296619413333332</v>
      </c>
      <c r="E43" s="647">
        <f>'10.QH,nd e costi'!E134</f>
        <v>4.6375156799999999</v>
      </c>
      <c r="F43" s="647">
        <f>'10.QH,nd e costi'!F134</f>
        <v>37.808602598205603</v>
      </c>
      <c r="G43" s="647">
        <f>'10.QH,nd e costi'!G134</f>
        <v>0</v>
      </c>
      <c r="H43" s="647">
        <f>'10.QH,nd e costi'!H134</f>
        <v>40.205665142428821</v>
      </c>
      <c r="I43" s="597">
        <f t="shared" si="3"/>
        <v>6.301723737546696E-3</v>
      </c>
      <c r="J43" s="598">
        <f t="shared" si="4"/>
        <v>6.301723737546696E-3</v>
      </c>
      <c r="K43" s="599">
        <f t="shared" si="0"/>
        <v>40205.665142428821</v>
      </c>
      <c r="L43" s="599">
        <f t="shared" si="5"/>
        <v>54.039872503264547</v>
      </c>
      <c r="M43" s="1291">
        <f t="shared" si="1"/>
        <v>1</v>
      </c>
      <c r="N43" s="1087" t="str">
        <f t="shared" si="2"/>
        <v>LETTO 3</v>
      </c>
      <c r="O43" s="1093"/>
      <c r="P43" s="1370"/>
    </row>
    <row r="44" spans="1:16">
      <c r="A44" s="1370"/>
      <c r="B44" s="1800"/>
      <c r="C44" s="1276" t="s">
        <v>587</v>
      </c>
      <c r="D44" s="647">
        <f>'10.QH,nd e costi'!D135</f>
        <v>44.253938813333328</v>
      </c>
      <c r="E44" s="647">
        <f>'10.QH,nd e costi'!E135</f>
        <v>39.263000399999996</v>
      </c>
      <c r="F44" s="647">
        <f>'10.QH,nd e costi'!F135</f>
        <v>13.399902814901758</v>
      </c>
      <c r="G44" s="647">
        <f>'10.QH,nd e costi'!G135</f>
        <v>8.4587451768390345</v>
      </c>
      <c r="H44" s="647">
        <f>'10.QH,nd e costi'!H135</f>
        <v>62.28275860994458</v>
      </c>
      <c r="I44" s="597">
        <f t="shared" si="3"/>
        <v>9.7620257489034155E-3</v>
      </c>
      <c r="J44" s="598">
        <f t="shared" si="4"/>
        <v>9.7620257489034155E-3</v>
      </c>
      <c r="K44" s="599">
        <f t="shared" si="0"/>
        <v>62282.758609944576</v>
      </c>
      <c r="L44" s="599">
        <f t="shared" si="5"/>
        <v>83.713385228420123</v>
      </c>
      <c r="M44" s="1291">
        <f t="shared" si="1"/>
        <v>1</v>
      </c>
      <c r="N44" s="1087" t="str">
        <f t="shared" si="2"/>
        <v>BAGNO 2</v>
      </c>
      <c r="O44" s="1093"/>
      <c r="P44" s="1370"/>
    </row>
    <row r="45" spans="1:16">
      <c r="A45" s="1370"/>
      <c r="B45" s="1800"/>
      <c r="C45" s="1276" t="s">
        <v>20</v>
      </c>
      <c r="D45" s="647">
        <f>'10.QH,nd e costi'!D136</f>
        <v>122.10749422666663</v>
      </c>
      <c r="E45" s="647">
        <f>'10.QH,nd e costi'!E136</f>
        <v>26.578031039999999</v>
      </c>
      <c r="F45" s="647">
        <f>'10.QH,nd e costi'!F136</f>
        <v>33.111354057112315</v>
      </c>
      <c r="G45" s="647">
        <f>'10.QH,nd e costi'!G136</f>
        <v>40.786438227521089</v>
      </c>
      <c r="H45" s="647">
        <f>'10.QH,nd e costi'!H136</f>
        <v>76.898877338738302</v>
      </c>
      <c r="I45" s="597">
        <f t="shared" si="3"/>
        <v>1.2052915403825215E-2</v>
      </c>
      <c r="J45" s="598">
        <f t="shared" si="4"/>
        <v>1.2052915403825215E-2</v>
      </c>
      <c r="K45" s="599">
        <f t="shared" si="0"/>
        <v>76898.877338738297</v>
      </c>
      <c r="L45" s="599">
        <f t="shared" si="5"/>
        <v>103.3587061004547</v>
      </c>
      <c r="M45" s="1291">
        <f>IF(OR(C45="RIPOSTIGLIO",C45="DISIMPEGNO"), 0, CEILING(L45/$W$106,1))</f>
        <v>1</v>
      </c>
      <c r="N45" s="1087" t="str">
        <f t="shared" si="2"/>
        <v>LETTO 2</v>
      </c>
      <c r="O45" s="1093"/>
      <c r="P45" s="1370"/>
    </row>
    <row r="46" spans="1:16">
      <c r="A46" s="1370"/>
      <c r="B46" s="1800"/>
      <c r="C46" s="1276" t="s">
        <v>586</v>
      </c>
      <c r="D46" s="647">
        <f>'10.QH,nd e costi'!D137</f>
        <v>47.032406813333317</v>
      </c>
      <c r="E46" s="647">
        <f>'10.QH,nd e costi'!E137</f>
        <v>30.348448200000007</v>
      </c>
      <c r="F46" s="647">
        <f>'10.QH,nd e costi'!F137</f>
        <v>14.510249834382929</v>
      </c>
      <c r="G46" s="647">
        <f>'10.QH,nd e costi'!G137</f>
        <v>47.708746420751993</v>
      </c>
      <c r="H46" s="647">
        <f>'10.QH,nd e costi'!H137</f>
        <v>16.939358176827135</v>
      </c>
      <c r="I46" s="597">
        <f t="shared" si="3"/>
        <v>2.6550277216796391E-3</v>
      </c>
      <c r="J46" s="598">
        <f t="shared" si="4"/>
        <v>2.6550277216796391E-3</v>
      </c>
      <c r="K46" s="599">
        <f t="shared" si="0"/>
        <v>16939.358176827136</v>
      </c>
      <c r="L46" s="599">
        <f t="shared" si="5"/>
        <v>22.767954538746149</v>
      </c>
      <c r="M46" s="1291">
        <f t="shared" si="1"/>
        <v>1</v>
      </c>
      <c r="N46" s="1087" t="str">
        <f t="shared" si="2"/>
        <v>BAGNO 1</v>
      </c>
      <c r="O46" s="1093"/>
      <c r="P46" s="1370"/>
    </row>
    <row r="47" spans="1:16">
      <c r="A47" s="1370"/>
      <c r="B47" s="1800"/>
      <c r="C47" s="1276" t="s">
        <v>19</v>
      </c>
      <c r="D47" s="647">
        <f>'10.QH,nd e costi'!D138</f>
        <v>92.941077679999992</v>
      </c>
      <c r="E47" s="647">
        <f>'10.QH,nd e costi'!E138</f>
        <v>9.2243694239999989</v>
      </c>
      <c r="F47" s="647">
        <f>'10.QH,nd e costi'!F138</f>
        <v>48.914500311643195</v>
      </c>
      <c r="G47" s="647">
        <f>'10.QH,nd e costi'!G138</f>
        <v>0</v>
      </c>
      <c r="H47" s="647">
        <f>'10.QH,nd e costi'!H138</f>
        <v>54.648357568800904</v>
      </c>
      <c r="I47" s="597">
        <f t="shared" si="3"/>
        <v>8.5654310378721031E-3</v>
      </c>
      <c r="J47" s="598">
        <f t="shared" si="4"/>
        <v>8.5654310378721031E-3</v>
      </c>
      <c r="K47" s="599">
        <f t="shared" si="0"/>
        <v>54648.3575688009</v>
      </c>
      <c r="L47" s="599">
        <f t="shared" si="5"/>
        <v>73.452093506452826</v>
      </c>
      <c r="M47" s="1291">
        <f t="shared" si="1"/>
        <v>1</v>
      </c>
      <c r="N47" s="1087" t="str">
        <f t="shared" si="2"/>
        <v>LETTO 1</v>
      </c>
      <c r="O47" s="1093"/>
      <c r="P47" s="1370"/>
    </row>
    <row r="48" spans="1:16">
      <c r="A48" s="1371"/>
      <c r="B48" s="1801"/>
      <c r="C48" s="1276" t="s">
        <v>588</v>
      </c>
      <c r="D48" s="648">
        <f>'10.QH,nd e costi'!D139</f>
        <v>7.3827863999999996</v>
      </c>
      <c r="E48" s="648">
        <f>'10.QH,nd e costi'!E139</f>
        <v>19.680213599999998</v>
      </c>
      <c r="F48" s="648">
        <f>'10.QH,nd e costi'!F139</f>
        <v>24.517938121468795</v>
      </c>
      <c r="G48" s="648">
        <f>'10.QH,nd e costi'!G139</f>
        <v>0</v>
      </c>
      <c r="H48" s="648">
        <f>'10.QH,nd e costi'!H139</f>
        <v>3.2455010270217954</v>
      </c>
      <c r="I48" s="644">
        <f t="shared" si="3"/>
        <v>5.0869077255066429E-4</v>
      </c>
      <c r="J48" s="1158">
        <f t="shared" si="4"/>
        <v>5.0869077255066429E-4</v>
      </c>
      <c r="K48" s="1159">
        <f t="shared" si="0"/>
        <v>3245.5010270217954</v>
      </c>
      <c r="L48" s="1159">
        <f t="shared" si="5"/>
        <v>4.3622325632013377</v>
      </c>
      <c r="M48" s="1291">
        <f t="shared" si="1"/>
        <v>0</v>
      </c>
      <c r="N48" s="1087" t="str">
        <f t="shared" si="2"/>
        <v>DISIMPEGNO</v>
      </c>
      <c r="O48" s="1096"/>
      <c r="P48" s="1371"/>
    </row>
    <row r="49" spans="1:16" ht="15" customHeight="1">
      <c r="A49" s="1377" t="s">
        <v>857</v>
      </c>
      <c r="B49" s="1802" t="s">
        <v>809</v>
      </c>
      <c r="C49" s="1275" t="s">
        <v>9</v>
      </c>
      <c r="D49" s="647">
        <f>'10.QH,nd e costi'!D140</f>
        <v>148.54880700000001</v>
      </c>
      <c r="E49" s="647">
        <f>'10.QH,nd e costi'!E140</f>
        <v>28.877303519999998</v>
      </c>
      <c r="F49" s="647">
        <f>'10.QH,nd e costi'!F140</f>
        <v>35.975826035660162</v>
      </c>
      <c r="G49" s="647">
        <f>'10.QH,nd e costi'!G140</f>
        <v>1.4227636498406733</v>
      </c>
      <c r="H49" s="647">
        <f>'10.QH,nd e costi'!H140</f>
        <v>141.09594005410409</v>
      </c>
      <c r="I49" s="597">
        <f t="shared" si="3"/>
        <v>2.2114983835253125E-2</v>
      </c>
      <c r="J49" s="598">
        <f t="shared" si="4"/>
        <v>2.2114983835253125E-2</v>
      </c>
      <c r="K49" s="599">
        <f t="shared" si="0"/>
        <v>141095.94005410408</v>
      </c>
      <c r="L49" s="599">
        <f t="shared" si="5"/>
        <v>189.64508071788183</v>
      </c>
      <c r="M49" s="1291">
        <f t="shared" si="1"/>
        <v>2</v>
      </c>
      <c r="N49" s="1087" t="str">
        <f t="shared" si="2"/>
        <v>CUCINA</v>
      </c>
      <c r="O49" s="1092">
        <f>SUM(M49:M58)</f>
        <v>16</v>
      </c>
      <c r="P49" s="1377" t="s">
        <v>857</v>
      </c>
    </row>
    <row r="50" spans="1:16">
      <c r="A50" s="1377"/>
      <c r="B50" s="1802"/>
      <c r="C50" s="1276" t="s">
        <v>804</v>
      </c>
      <c r="D50" s="647">
        <f>'10.QH,nd e costi'!D141</f>
        <v>512.42623784</v>
      </c>
      <c r="E50" s="647">
        <f>'10.QH,nd e costi'!E141</f>
        <v>73.187012159999981</v>
      </c>
      <c r="F50" s="647">
        <f>'10.QH,nd e costi'!F141</f>
        <v>91.177599588353274</v>
      </c>
      <c r="G50" s="647">
        <f>'10.QH,nd e costi'!G141</f>
        <v>5.2018688328145375</v>
      </c>
      <c r="H50" s="647">
        <f>'10.QH,nd e costi'!H141</f>
        <v>491.98719226363141</v>
      </c>
      <c r="I50" s="597">
        <f t="shared" si="3"/>
        <v>7.7112699344075164E-2</v>
      </c>
      <c r="J50" s="598">
        <f>I50</f>
        <v>7.7112699344075164E-2</v>
      </c>
      <c r="K50" s="599">
        <f t="shared" si="0"/>
        <v>491987.19226363144</v>
      </c>
      <c r="L50" s="599">
        <f t="shared" si="5"/>
        <v>661.27310788122509</v>
      </c>
      <c r="M50" s="1291">
        <f t="shared" si="1"/>
        <v>6</v>
      </c>
      <c r="N50" s="1087" t="str">
        <f>C50</f>
        <v>PRANZO - SOGGIORNO</v>
      </c>
      <c r="O50" s="1093"/>
      <c r="P50" s="1377"/>
    </row>
    <row r="51" spans="1:16">
      <c r="A51" s="1377"/>
      <c r="B51" s="1802"/>
      <c r="C51" s="1276" t="s">
        <v>22</v>
      </c>
      <c r="D51" s="647">
        <f>'10.QH,nd e costi'!D142</f>
        <v>12.7809528</v>
      </c>
      <c r="E51" s="647">
        <f>'10.QH,nd e costi'!E142</f>
        <v>11.6471790864</v>
      </c>
      <c r="F51" s="647">
        <f>'10.QH,nd e costi'!F142</f>
        <v>11.491873174953792</v>
      </c>
      <c r="G51" s="647">
        <f>'10.QH,nd e costi'!G142</f>
        <v>1.7255483221473424</v>
      </c>
      <c r="H51" s="647">
        <f>'10.QH,nd e costi'!H142</f>
        <v>11.588311450725971</v>
      </c>
      <c r="I51" s="597">
        <f t="shared" si="3"/>
        <v>1.8163195929834213E-3</v>
      </c>
      <c r="J51" s="598">
        <f t="shared" si="4"/>
        <v>1.8163195929834213E-3</v>
      </c>
      <c r="K51" s="599">
        <f t="shared" si="0"/>
        <v>11588.311450725971</v>
      </c>
      <c r="L51" s="599">
        <f t="shared" si="5"/>
        <v>15.575687433771465</v>
      </c>
      <c r="M51" s="1291">
        <f t="shared" si="1"/>
        <v>0</v>
      </c>
      <c r="N51" s="1087" t="str">
        <f t="shared" si="2"/>
        <v>RIPOSTIGLIO</v>
      </c>
      <c r="O51" s="1093"/>
      <c r="P51" s="1377"/>
    </row>
    <row r="52" spans="1:16" ht="15" customHeight="1">
      <c r="A52" s="1377"/>
      <c r="B52" s="1802"/>
      <c r="C52" s="1276" t="s">
        <v>803</v>
      </c>
      <c r="D52" s="647">
        <f>'10.QH,nd e costi'!D143</f>
        <v>25.641290399999995</v>
      </c>
      <c r="E52" s="647">
        <f>'10.QH,nd e costi'!E143</f>
        <v>10.75591872</v>
      </c>
      <c r="F52" s="647">
        <f>'10.QH,nd e costi'!F143</f>
        <v>5.7774943296134387</v>
      </c>
      <c r="G52" s="647">
        <f>'10.QH,nd e costi'!G143</f>
        <v>0.70332484391927508</v>
      </c>
      <c r="H52" s="647">
        <f>'10.QH,nd e costi'!H143</f>
        <v>30.101536814892402</v>
      </c>
      <c r="I52" s="597">
        <f t="shared" si="3"/>
        <v>4.7180308648311041E-3</v>
      </c>
      <c r="J52" s="598">
        <f t="shared" si="4"/>
        <v>4.7180308648311041E-3</v>
      </c>
      <c r="K52" s="599">
        <f t="shared" si="0"/>
        <v>30101.536814892403</v>
      </c>
      <c r="L52" s="599">
        <f t="shared" si="5"/>
        <v>40.459054858726347</v>
      </c>
      <c r="M52" s="1291">
        <f t="shared" si="1"/>
        <v>1</v>
      </c>
      <c r="N52" s="1087" t="str">
        <f t="shared" si="2"/>
        <v>BAGNO 3</v>
      </c>
      <c r="O52" s="1093"/>
      <c r="P52" s="1377"/>
    </row>
    <row r="53" spans="1:16" ht="15" customHeight="1">
      <c r="A53" s="1377"/>
      <c r="B53" s="1802"/>
      <c r="C53" s="1276" t="s">
        <v>802</v>
      </c>
      <c r="D53" s="647">
        <f>'10.QH,nd e costi'!D144</f>
        <v>101.03391701333332</v>
      </c>
      <c r="E53" s="647">
        <f>'10.QH,nd e costi'!E144</f>
        <v>4.6375156799999999</v>
      </c>
      <c r="F53" s="647">
        <f>'10.QH,nd e costi'!F144</f>
        <v>37.808602598205603</v>
      </c>
      <c r="G53" s="647">
        <f>'10.QH,nd e costi'!G144</f>
        <v>0</v>
      </c>
      <c r="H53" s="647">
        <f>'10.QH,nd e costi'!H144</f>
        <v>68.94296274242879</v>
      </c>
      <c r="I53" s="597">
        <f t="shared" si="3"/>
        <v>1.0805927555524463E-2</v>
      </c>
      <c r="J53" s="598">
        <f t="shared" si="4"/>
        <v>1.0805927555524463E-2</v>
      </c>
      <c r="K53" s="599">
        <f t="shared" si="0"/>
        <v>68942.96274242879</v>
      </c>
      <c r="L53" s="599">
        <f t="shared" si="5"/>
        <v>92.665272503264504</v>
      </c>
      <c r="M53" s="1291">
        <f t="shared" si="1"/>
        <v>1</v>
      </c>
      <c r="N53" s="1087" t="str">
        <f t="shared" si="2"/>
        <v>LETTO 3</v>
      </c>
      <c r="P53" s="1377"/>
    </row>
    <row r="54" spans="1:16">
      <c r="A54" s="1377"/>
      <c r="B54" s="1802"/>
      <c r="C54" s="1276" t="s">
        <v>587</v>
      </c>
      <c r="D54" s="647">
        <f>'10.QH,nd e costi'!D145</f>
        <v>54.415193213333325</v>
      </c>
      <c r="E54" s="647">
        <f>'10.QH,nd e costi'!E145</f>
        <v>39.263000399999996</v>
      </c>
      <c r="F54" s="647">
        <f>'10.QH,nd e costi'!F145</f>
        <v>13.399902814901758</v>
      </c>
      <c r="G54" s="647">
        <f>'10.QH,nd e costi'!G145</f>
        <v>1.7308818435057003</v>
      </c>
      <c r="H54" s="647">
        <f>'10.QH,nd e costi'!H145</f>
        <v>78.979671809560003</v>
      </c>
      <c r="I54" s="597">
        <f t="shared" si="3"/>
        <v>1.2379053321536106E-2</v>
      </c>
      <c r="J54" s="598">
        <f t="shared" si="4"/>
        <v>1.2379053321536106E-2</v>
      </c>
      <c r="K54" s="599">
        <f t="shared" si="0"/>
        <v>78979.671809560008</v>
      </c>
      <c r="L54" s="599">
        <f t="shared" si="5"/>
        <v>106.15547286231184</v>
      </c>
      <c r="M54" s="1291">
        <f t="shared" si="1"/>
        <v>1</v>
      </c>
      <c r="N54" s="1087" t="str">
        <f t="shared" si="2"/>
        <v>BAGNO 2</v>
      </c>
      <c r="O54" s="1093"/>
      <c r="P54" s="1377"/>
    </row>
    <row r="55" spans="1:16">
      <c r="A55" s="1377"/>
      <c r="B55" s="1802"/>
      <c r="C55" s="1276" t="s">
        <v>20</v>
      </c>
      <c r="D55" s="647">
        <f>'10.QH,nd e costi'!D146</f>
        <v>147.27247582666666</v>
      </c>
      <c r="E55" s="647">
        <f>'10.QH,nd e costi'!E146</f>
        <v>26.578031039999999</v>
      </c>
      <c r="F55" s="647">
        <f>'10.QH,nd e costi'!F146</f>
        <v>33.111354057112315</v>
      </c>
      <c r="G55" s="647">
        <f>'10.QH,nd e costi'!G146</f>
        <v>4.1330357002775653</v>
      </c>
      <c r="H55" s="647">
        <f>'10.QH,nd e costi'!H146</f>
        <v>137.67013107808904</v>
      </c>
      <c r="I55" s="597">
        <f t="shared" si="3"/>
        <v>2.1578032098029599E-2</v>
      </c>
      <c r="J55" s="598">
        <f t="shared" si="4"/>
        <v>2.1578032098029599E-2</v>
      </c>
      <c r="K55" s="599">
        <f t="shared" si="0"/>
        <v>137670.13107808903</v>
      </c>
      <c r="L55" s="599">
        <f t="shared" si="5"/>
        <v>185.04049876087237</v>
      </c>
      <c r="M55" s="1291">
        <f t="shared" si="1"/>
        <v>2</v>
      </c>
      <c r="N55" s="1087" t="str">
        <f t="shared" si="2"/>
        <v>LETTO 2</v>
      </c>
      <c r="O55" s="1094"/>
      <c r="P55" s="1377"/>
    </row>
    <row r="56" spans="1:16">
      <c r="A56" s="1377"/>
      <c r="B56" s="1802"/>
      <c r="C56" s="1276" t="s">
        <v>586</v>
      </c>
      <c r="D56" s="647">
        <f>'10.QH,nd e costi'!D147</f>
        <v>58.066894013333311</v>
      </c>
      <c r="E56" s="647">
        <f>'10.QH,nd e costi'!E147</f>
        <v>30.348448200000007</v>
      </c>
      <c r="F56" s="647">
        <f>'10.QH,nd e costi'!F147</f>
        <v>14.510249834382929</v>
      </c>
      <c r="G56" s="647">
        <f>'10.QH,nd e costi'!G147</f>
        <v>1.4035203258170648</v>
      </c>
      <c r="H56" s="647">
        <f>'10.QH,nd e costi'!H147</f>
        <v>72.9562035790415</v>
      </c>
      <c r="I56" s="597">
        <f t="shared" si="3"/>
        <v>1.1434951723013868E-2</v>
      </c>
      <c r="J56" s="598">
        <f t="shared" si="4"/>
        <v>1.1434951723013868E-2</v>
      </c>
      <c r="K56" s="599">
        <f t="shared" si="0"/>
        <v>72956.203579041496</v>
      </c>
      <c r="L56" s="599">
        <f t="shared" si="5"/>
        <v>98.059413412690176</v>
      </c>
      <c r="M56" s="1291">
        <f t="shared" si="1"/>
        <v>1</v>
      </c>
      <c r="N56" s="1087" t="str">
        <f t="shared" si="2"/>
        <v>BAGNO 1</v>
      </c>
      <c r="O56" s="1094"/>
      <c r="P56" s="1377"/>
    </row>
    <row r="57" spans="1:16">
      <c r="A57" s="1377"/>
      <c r="B57" s="1802"/>
      <c r="C57" s="1276" t="s">
        <v>19</v>
      </c>
      <c r="D57" s="647">
        <f>'10.QH,nd e costi'!D148</f>
        <v>130.17254887999999</v>
      </c>
      <c r="E57" s="647">
        <f>'10.QH,nd e costi'!E148</f>
        <v>9.2243694239999989</v>
      </c>
      <c r="F57" s="647">
        <f>'10.QH,nd e costi'!F148</f>
        <v>48.914500311643195</v>
      </c>
      <c r="G57" s="647">
        <f>'10.QH,nd e costi'!G148</f>
        <v>0</v>
      </c>
      <c r="H57" s="647">
        <f>'10.QH,nd e costi'!H148</f>
        <v>91.879828768800905</v>
      </c>
      <c r="I57" s="597">
        <f t="shared" si="3"/>
        <v>1.4400987918069824E-2</v>
      </c>
      <c r="J57" s="598">
        <f t="shared" si="4"/>
        <v>1.4400987918069824E-2</v>
      </c>
      <c r="K57" s="599">
        <f t="shared" si="0"/>
        <v>91879.8287688009</v>
      </c>
      <c r="L57" s="599">
        <f t="shared" si="5"/>
        <v>123.49439350645282</v>
      </c>
      <c r="M57" s="1291">
        <f t="shared" si="1"/>
        <v>2</v>
      </c>
      <c r="N57" s="1087" t="str">
        <f t="shared" si="2"/>
        <v>LETTO 1</v>
      </c>
      <c r="O57" s="1094"/>
      <c r="P57" s="1377"/>
    </row>
    <row r="58" spans="1:16">
      <c r="A58" s="1377"/>
      <c r="B58" s="1802"/>
      <c r="C58" s="1276" t="s">
        <v>588</v>
      </c>
      <c r="D58" s="647">
        <f>'10.QH,nd e costi'!D149</f>
        <v>34.53238799999999</v>
      </c>
      <c r="E58" s="647">
        <f>'10.QH,nd e costi'!E149</f>
        <v>19.680213599999998</v>
      </c>
      <c r="F58" s="647">
        <f>'10.QH,nd e costi'!F149</f>
        <v>24.517938121468795</v>
      </c>
      <c r="G58" s="647">
        <f>'10.QH,nd e costi'!G149</f>
        <v>0</v>
      </c>
      <c r="H58" s="647">
        <f>'10.QH,nd e costi'!H149</f>
        <v>30.395102627021782</v>
      </c>
      <c r="I58" s="597">
        <f t="shared" si="3"/>
        <v>4.7640435508611535E-3</v>
      </c>
      <c r="J58" s="598">
        <f t="shared" si="4"/>
        <v>4.7640435508611535E-3</v>
      </c>
      <c r="K58" s="599">
        <f t="shared" si="0"/>
        <v>30395.102627021781</v>
      </c>
      <c r="L58" s="599">
        <f t="shared" si="5"/>
        <v>40.853632563201316</v>
      </c>
      <c r="M58" s="1291">
        <f t="shared" si="1"/>
        <v>0</v>
      </c>
      <c r="N58" s="1089" t="str">
        <f t="shared" si="2"/>
        <v>DISIMPEGNO</v>
      </c>
      <c r="O58" s="1095"/>
      <c r="P58" s="1377"/>
    </row>
    <row r="59" spans="1:16" ht="15" customHeight="1">
      <c r="A59" s="1377"/>
      <c r="B59" s="1803" t="s">
        <v>810</v>
      </c>
      <c r="C59" s="1275" t="s">
        <v>9</v>
      </c>
      <c r="D59" s="1154">
        <f>'10.QH,nd e costi'!D150</f>
        <v>148.54880700000001</v>
      </c>
      <c r="E59" s="1154">
        <f>'10.QH,nd e costi'!E150</f>
        <v>28.877303519999998</v>
      </c>
      <c r="F59" s="1154">
        <f>'10.QH,nd e costi'!F150</f>
        <v>35.975826035660162</v>
      </c>
      <c r="G59" s="1154">
        <f>'10.QH,nd e costi'!G150</f>
        <v>2.8673420971959702</v>
      </c>
      <c r="H59" s="1154">
        <f>'10.QH,nd e costi'!H150</f>
        <v>139.69263095381135</v>
      </c>
      <c r="I59" s="1155">
        <f t="shared" si="3"/>
        <v>2.1895033083608979E-2</v>
      </c>
      <c r="J59" s="1156">
        <f t="shared" si="4"/>
        <v>2.1895033083608979E-2</v>
      </c>
      <c r="K59" s="1157">
        <f t="shared" si="0"/>
        <v>139692.63095381134</v>
      </c>
      <c r="L59" s="1157">
        <f t="shared" si="5"/>
        <v>187.75891257232706</v>
      </c>
      <c r="M59" s="1291">
        <f t="shared" si="1"/>
        <v>2</v>
      </c>
      <c r="N59" s="1088" t="str">
        <f t="shared" si="2"/>
        <v>CUCINA</v>
      </c>
      <c r="O59" s="1092">
        <f>SUM(M59:M68)</f>
        <v>16</v>
      </c>
      <c r="P59" s="1377"/>
    </row>
    <row r="60" spans="1:16">
      <c r="A60" s="1377"/>
      <c r="B60" s="1803"/>
      <c r="C60" s="1276" t="s">
        <v>804</v>
      </c>
      <c r="D60" s="647">
        <f>'10.QH,nd e costi'!D151</f>
        <v>512.42623784</v>
      </c>
      <c r="E60" s="647">
        <f>'10.QH,nd e costi'!E151</f>
        <v>73.187012159999981</v>
      </c>
      <c r="F60" s="647">
        <f>'10.QH,nd e costi'!F151</f>
        <v>91.177599588353274</v>
      </c>
      <c r="G60" s="647">
        <f>'10.QH,nd e costi'!G151</f>
        <v>7.7742514669373248</v>
      </c>
      <c r="H60" s="647">
        <f>'10.QH,nd e costi'!H151</f>
        <v>489.48829857841247</v>
      </c>
      <c r="I60" s="597">
        <f t="shared" si="3"/>
        <v>7.672102972244435E-2</v>
      </c>
      <c r="J60" s="598">
        <f t="shared" si="4"/>
        <v>7.672102972244435E-2</v>
      </c>
      <c r="K60" s="599">
        <f t="shared" si="0"/>
        <v>489488.29857841245</v>
      </c>
      <c r="L60" s="599">
        <f t="shared" si="5"/>
        <v>657.9143798096942</v>
      </c>
      <c r="M60" s="1291">
        <f t="shared" si="1"/>
        <v>6</v>
      </c>
      <c r="N60" s="1087" t="str">
        <f t="shared" si="2"/>
        <v>PRANZO - SOGGIORNO</v>
      </c>
      <c r="O60" s="1093"/>
      <c r="P60" s="1377"/>
    </row>
    <row r="61" spans="1:16" ht="15" customHeight="1">
      <c r="A61" s="1377"/>
      <c r="B61" s="1803"/>
      <c r="C61" s="1276" t="s">
        <v>22</v>
      </c>
      <c r="D61" s="647">
        <f>'10.QH,nd e costi'!D152</f>
        <v>12.7809528</v>
      </c>
      <c r="E61" s="647">
        <f>'10.QH,nd e costi'!E152</f>
        <v>11.6471790864</v>
      </c>
      <c r="F61" s="647">
        <f>'10.QH,nd e costi'!F152</f>
        <v>11.491873174953792</v>
      </c>
      <c r="G61" s="647">
        <f>'10.QH,nd e costi'!G152</f>
        <v>1.7255483221473424</v>
      </c>
      <c r="H61" s="647">
        <f>'10.QH,nd e costi'!H152</f>
        <v>11.588311450725971</v>
      </c>
      <c r="I61" s="597">
        <f t="shared" si="3"/>
        <v>1.8163195929834213E-3</v>
      </c>
      <c r="J61" s="598">
        <f t="shared" si="4"/>
        <v>1.8163195929834213E-3</v>
      </c>
      <c r="K61" s="599">
        <f t="shared" si="0"/>
        <v>11588.311450725971</v>
      </c>
      <c r="L61" s="599">
        <f t="shared" si="5"/>
        <v>15.575687433771465</v>
      </c>
      <c r="M61" s="1291">
        <f t="shared" si="1"/>
        <v>0</v>
      </c>
      <c r="N61" s="1087" t="str">
        <f t="shared" si="2"/>
        <v>RIPOSTIGLIO</v>
      </c>
      <c r="P61" s="1377"/>
    </row>
    <row r="62" spans="1:16">
      <c r="A62" s="1377"/>
      <c r="B62" s="1803"/>
      <c r="C62" s="1276" t="s">
        <v>803</v>
      </c>
      <c r="D62" s="647">
        <f>'10.QH,nd e costi'!D153</f>
        <v>25.641290399999995</v>
      </c>
      <c r="E62" s="647">
        <f>'10.QH,nd e costi'!E153</f>
        <v>10.75591872</v>
      </c>
      <c r="F62" s="647">
        <f>'10.QH,nd e costi'!F153</f>
        <v>5.7774943296134387</v>
      </c>
      <c r="G62" s="647">
        <f>'10.QH,nd e costi'!G153</f>
        <v>4.8225091154297086</v>
      </c>
      <c r="H62" s="647">
        <f>'10.QH,nd e costi'!H153</f>
        <v>26.100031196020637</v>
      </c>
      <c r="I62" s="597">
        <f t="shared" si="3"/>
        <v>4.0908460426165852E-3</v>
      </c>
      <c r="J62" s="598">
        <f t="shared" si="4"/>
        <v>4.0908460426165852E-3</v>
      </c>
      <c r="K62" s="599">
        <f t="shared" si="0"/>
        <v>26100.031196020638</v>
      </c>
      <c r="L62" s="599">
        <f t="shared" si="5"/>
        <v>35.080687091425588</v>
      </c>
      <c r="M62" s="1291">
        <f t="shared" si="1"/>
        <v>1</v>
      </c>
      <c r="N62" s="1087" t="str">
        <f t="shared" si="2"/>
        <v>BAGNO 3</v>
      </c>
      <c r="O62" s="1093"/>
      <c r="P62" s="1377"/>
    </row>
    <row r="63" spans="1:16">
      <c r="A63" s="1377"/>
      <c r="B63" s="1803"/>
      <c r="C63" s="1276" t="s">
        <v>802</v>
      </c>
      <c r="D63" s="647">
        <f>'10.QH,nd e costi'!D154</f>
        <v>101.03391701333332</v>
      </c>
      <c r="E63" s="647">
        <f>'10.QH,nd e costi'!E154</f>
        <v>4.6375156799999999</v>
      </c>
      <c r="F63" s="647">
        <f>'10.QH,nd e costi'!F154</f>
        <v>37.808602598205603</v>
      </c>
      <c r="G63" s="647">
        <f>'10.QH,nd e costi'!G154</f>
        <v>0</v>
      </c>
      <c r="H63" s="647">
        <f>'10.QH,nd e costi'!H154</f>
        <v>68.94296274242879</v>
      </c>
      <c r="I63" s="597">
        <f t="shared" si="3"/>
        <v>1.0805927555524463E-2</v>
      </c>
      <c r="J63" s="598">
        <f t="shared" si="4"/>
        <v>1.0805927555524463E-2</v>
      </c>
      <c r="K63" s="599">
        <f t="shared" si="0"/>
        <v>68942.96274242879</v>
      </c>
      <c r="L63" s="599">
        <f t="shared" si="5"/>
        <v>92.665272503264504</v>
      </c>
      <c r="M63" s="1291">
        <f t="shared" si="1"/>
        <v>1</v>
      </c>
      <c r="N63" s="1087" t="str">
        <f t="shared" si="2"/>
        <v>LETTO 3</v>
      </c>
      <c r="O63" s="1093"/>
      <c r="P63" s="1377"/>
    </row>
    <row r="64" spans="1:16">
      <c r="A64" s="1377"/>
      <c r="B64" s="1803"/>
      <c r="C64" s="1276" t="s">
        <v>587</v>
      </c>
      <c r="D64" s="647">
        <f>'10.QH,nd e costi'!D155</f>
        <v>54.415193213333325</v>
      </c>
      <c r="E64" s="647">
        <f>'10.QH,nd e costi'!E155</f>
        <v>39.263000399999996</v>
      </c>
      <c r="F64" s="647">
        <f>'10.QH,nd e costi'!F155</f>
        <v>13.399902814901758</v>
      </c>
      <c r="G64" s="647">
        <f>'10.QH,nd e costi'!G155</f>
        <v>1.7308818435057003</v>
      </c>
      <c r="H64" s="647">
        <f>'10.QH,nd e costi'!H155</f>
        <v>78.979671809560003</v>
      </c>
      <c r="I64" s="597">
        <f t="shared" si="3"/>
        <v>1.2379053321536106E-2</v>
      </c>
      <c r="J64" s="598">
        <f t="shared" si="4"/>
        <v>1.2379053321536106E-2</v>
      </c>
      <c r="K64" s="599">
        <f t="shared" si="0"/>
        <v>78979.671809560008</v>
      </c>
      <c r="L64" s="599">
        <f t="shared" si="5"/>
        <v>106.15547286231184</v>
      </c>
      <c r="M64" s="1291">
        <f t="shared" si="1"/>
        <v>1</v>
      </c>
      <c r="N64" s="1087" t="str">
        <f t="shared" si="2"/>
        <v>BAGNO 2</v>
      </c>
      <c r="O64" s="1093"/>
      <c r="P64" s="1377"/>
    </row>
    <row r="65" spans="1:29">
      <c r="A65" s="1377"/>
      <c r="B65" s="1803"/>
      <c r="C65" s="1276" t="s">
        <v>20</v>
      </c>
      <c r="D65" s="647">
        <f>'10.QH,nd e costi'!D156</f>
        <v>147.27247582666666</v>
      </c>
      <c r="E65" s="647">
        <f>'10.QH,nd e costi'!E156</f>
        <v>26.578031039999999</v>
      </c>
      <c r="F65" s="647">
        <f>'10.QH,nd e costi'!F156</f>
        <v>33.111354057112315</v>
      </c>
      <c r="G65" s="647">
        <f>'10.QH,nd e costi'!G156</f>
        <v>8.2910240608544186</v>
      </c>
      <c r="H65" s="647">
        <f>'10.QH,nd e costi'!H156</f>
        <v>133.6309299422897</v>
      </c>
      <c r="I65" s="597">
        <f t="shared" si="3"/>
        <v>2.0944938985702728E-2</v>
      </c>
      <c r="J65" s="598">
        <f t="shared" si="4"/>
        <v>2.0944938985702728E-2</v>
      </c>
      <c r="K65" s="599">
        <f t="shared" si="0"/>
        <v>133630.92994228969</v>
      </c>
      <c r="L65" s="599">
        <f t="shared" si="5"/>
        <v>179.6114649761958</v>
      </c>
      <c r="M65" s="1291">
        <f t="shared" si="1"/>
        <v>2</v>
      </c>
      <c r="N65" s="1087" t="str">
        <f t="shared" si="2"/>
        <v>LETTO 2</v>
      </c>
      <c r="O65" s="1093"/>
      <c r="P65" s="1377"/>
    </row>
    <row r="66" spans="1:29">
      <c r="A66" s="1377"/>
      <c r="B66" s="1803"/>
      <c r="C66" s="1276" t="s">
        <v>586</v>
      </c>
      <c r="D66" s="647">
        <f>'10.QH,nd e costi'!D157</f>
        <v>58.066894013333311</v>
      </c>
      <c r="E66" s="647">
        <f>'10.QH,nd e costi'!E157</f>
        <v>30.348448200000007</v>
      </c>
      <c r="F66" s="647">
        <f>'10.QH,nd e costi'!F157</f>
        <v>14.510249834382929</v>
      </c>
      <c r="G66" s="647">
        <f>'10.QH,nd e costi'!G157</f>
        <v>9.6293714207519905</v>
      </c>
      <c r="H66" s="647">
        <f>'10.QH,nd e costi'!H157</f>
        <v>64.965352185468134</v>
      </c>
      <c r="I66" s="597">
        <f t="shared" si="3"/>
        <v>1.018248797862107E-2</v>
      </c>
      <c r="J66" s="598">
        <f t="shared" si="4"/>
        <v>1.018248797862107E-2</v>
      </c>
      <c r="K66" s="599">
        <f t="shared" si="0"/>
        <v>64965.352185468131</v>
      </c>
      <c r="L66" s="599">
        <f t="shared" si="5"/>
        <v>87.319021754661463</v>
      </c>
      <c r="M66" s="1291">
        <f t="shared" si="1"/>
        <v>1</v>
      </c>
      <c r="N66" s="1087" t="str">
        <f t="shared" si="2"/>
        <v>BAGNO 1</v>
      </c>
      <c r="O66" s="1093"/>
      <c r="P66" s="1377"/>
    </row>
    <row r="67" spans="1:29">
      <c r="A67" s="1377"/>
      <c r="B67" s="1803"/>
      <c r="C67" s="1276" t="s">
        <v>19</v>
      </c>
      <c r="D67" s="647">
        <f>'10.QH,nd e costi'!D158</f>
        <v>130.17254887999999</v>
      </c>
      <c r="E67" s="647">
        <f>'10.QH,nd e costi'!E158</f>
        <v>9.2243694239999989</v>
      </c>
      <c r="F67" s="647">
        <f>'10.QH,nd e costi'!F158</f>
        <v>48.914500311643195</v>
      </c>
      <c r="G67" s="647">
        <f>'10.QH,nd e costi'!G158</f>
        <v>0</v>
      </c>
      <c r="H67" s="647">
        <f>'10.QH,nd e costi'!H158</f>
        <v>91.879828768800905</v>
      </c>
      <c r="I67" s="597">
        <f t="shared" si="3"/>
        <v>1.4400987918069824E-2</v>
      </c>
      <c r="J67" s="598">
        <f t="shared" si="4"/>
        <v>1.4400987918069824E-2</v>
      </c>
      <c r="K67" s="599">
        <f t="shared" si="0"/>
        <v>91879.8287688009</v>
      </c>
      <c r="L67" s="599">
        <f t="shared" si="5"/>
        <v>123.49439350645282</v>
      </c>
      <c r="M67" s="1291">
        <f t="shared" si="1"/>
        <v>2</v>
      </c>
      <c r="N67" s="1087" t="str">
        <f t="shared" si="2"/>
        <v>LETTO 1</v>
      </c>
      <c r="O67" s="1093"/>
      <c r="P67" s="1377"/>
    </row>
    <row r="68" spans="1:29">
      <c r="A68" s="1377"/>
      <c r="B68" s="1803"/>
      <c r="C68" s="1284" t="s">
        <v>588</v>
      </c>
      <c r="D68" s="647">
        <f>'10.QH,nd e costi'!D159</f>
        <v>34.53238799999999</v>
      </c>
      <c r="E68" s="647">
        <f>'10.QH,nd e costi'!E159</f>
        <v>19.680213599999998</v>
      </c>
      <c r="F68" s="647">
        <f>'10.QH,nd e costi'!F159</f>
        <v>24.517938121468795</v>
      </c>
      <c r="G68" s="647">
        <f>'10.QH,nd e costi'!G159</f>
        <v>0</v>
      </c>
      <c r="H68" s="647">
        <f>'10.QH,nd e costi'!H159</f>
        <v>30.395102627021782</v>
      </c>
      <c r="I68" s="597">
        <f t="shared" si="3"/>
        <v>4.7640435508611535E-3</v>
      </c>
      <c r="J68" s="598">
        <f t="shared" si="4"/>
        <v>4.7640435508611535E-3</v>
      </c>
      <c r="K68" s="599">
        <f t="shared" si="0"/>
        <v>30395.102627021781</v>
      </c>
      <c r="L68" s="599">
        <f t="shared" si="5"/>
        <v>40.853632563201316</v>
      </c>
      <c r="M68" s="1291">
        <f t="shared" si="1"/>
        <v>0</v>
      </c>
      <c r="N68" s="1281" t="str">
        <f t="shared" si="2"/>
        <v>DISIMPEGNO</v>
      </c>
      <c r="O68" s="1096"/>
      <c r="P68" s="1377"/>
    </row>
    <row r="69" spans="1:29">
      <c r="A69" s="515"/>
      <c r="B69" s="9"/>
      <c r="D69" s="645">
        <f>'10.QH,nd e costi'!D160</f>
        <v>7050.4604579200004</v>
      </c>
      <c r="E69" s="645">
        <f>'10.QH,nd e costi'!E160</f>
        <v>1525.1939509823999</v>
      </c>
      <c r="F69" s="645">
        <f>'10.QH,nd e costi'!F160</f>
        <v>1900.112045197772</v>
      </c>
      <c r="G69" s="645">
        <f>'10.QH,nd e costi'!G160</f>
        <v>360.00440134104952</v>
      </c>
      <c r="H69" s="645">
        <f>'10.QH,nd e costi'!H160</f>
        <v>6380.1059546417309</v>
      </c>
      <c r="I69" s="646">
        <v>1</v>
      </c>
      <c r="J69" s="50">
        <v>1</v>
      </c>
      <c r="K69" s="607">
        <f>SUM(K9:K68)</f>
        <v>6380105.9546417305</v>
      </c>
      <c r="L69" s="649">
        <f t="shared" ref="L69:M69" si="6">SUM(L9:L68)</f>
        <v>8575.4112293571652</v>
      </c>
      <c r="M69" s="607">
        <f t="shared" si="6"/>
        <v>93</v>
      </c>
      <c r="N69" s="9"/>
      <c r="O69" s="1090">
        <f>(O9+O19)*1+(O29+O39)*5+(O49*O59)*1</f>
        <v>425</v>
      </c>
      <c r="P69" s="515"/>
    </row>
    <row r="70" spans="1:29">
      <c r="H70" s="643"/>
    </row>
    <row r="71" spans="1:29">
      <c r="H71" s="643"/>
    </row>
    <row r="72" spans="1:29">
      <c r="H72" s="643"/>
    </row>
    <row r="73" spans="1:29">
      <c r="H73" s="643"/>
    </row>
    <row r="74" spans="1:29">
      <c r="H74" s="643"/>
    </row>
    <row r="75" spans="1:29">
      <c r="H75" s="643"/>
    </row>
    <row r="76" spans="1:29">
      <c r="H76" s="643"/>
    </row>
    <row r="77" spans="1:29">
      <c r="H77" s="643"/>
    </row>
    <row r="78" spans="1:29" ht="16" thickBot="1">
      <c r="H78" s="643"/>
    </row>
    <row r="79" spans="1:29">
      <c r="H79" s="643"/>
      <c r="AB79" s="2038" t="s">
        <v>691</v>
      </c>
      <c r="AC79" s="2039"/>
    </row>
    <row r="80" spans="1:29">
      <c r="H80" s="643"/>
      <c r="AB80" s="2040"/>
      <c r="AC80" s="2041"/>
    </row>
    <row r="81" spans="1:29">
      <c r="H81" s="643"/>
      <c r="AB81" s="2040"/>
      <c r="AC81" s="2041"/>
    </row>
    <row r="82" spans="1:29">
      <c r="H82" s="643"/>
      <c r="AB82" s="2040"/>
      <c r="AC82" s="2041"/>
    </row>
    <row r="83" spans="1:29">
      <c r="H83" s="643"/>
      <c r="AB83" s="2040"/>
      <c r="AC83" s="2041"/>
    </row>
    <row r="84" spans="1:29" ht="16" thickBot="1">
      <c r="H84" s="643"/>
      <c r="AB84" s="2042"/>
      <c r="AC84" s="2043"/>
    </row>
    <row r="85" spans="1:29">
      <c r="H85" s="643"/>
    </row>
    <row r="86" spans="1:29">
      <c r="H86" s="643"/>
    </row>
    <row r="89" spans="1:29">
      <c r="L89" s="591"/>
    </row>
    <row r="90" spans="1:29">
      <c r="L90" s="591"/>
      <c r="S90" s="600" t="s">
        <v>692</v>
      </c>
    </row>
    <row r="91" spans="1:29">
      <c r="A91" s="1091"/>
      <c r="B91" s="9"/>
      <c r="L91" s="618"/>
      <c r="S91" s="600" t="s">
        <v>693</v>
      </c>
    </row>
    <row r="92" spans="1:29">
      <c r="L92" s="1160"/>
      <c r="S92" s="600" t="s">
        <v>694</v>
      </c>
    </row>
    <row r="93" spans="1:29">
      <c r="S93" s="600" t="s">
        <v>695</v>
      </c>
    </row>
    <row r="94" spans="1:29">
      <c r="S94" s="600" t="s">
        <v>696</v>
      </c>
    </row>
    <row r="95" spans="1:29">
      <c r="S95" s="600" t="s">
        <v>697</v>
      </c>
    </row>
    <row r="96" spans="1:29">
      <c r="B96" s="609" t="s">
        <v>709</v>
      </c>
      <c r="C96" s="610"/>
      <c r="D96" s="611"/>
      <c r="E96" s="612"/>
      <c r="S96" s="601"/>
    </row>
    <row r="97" spans="1:27">
      <c r="C97" s="1900" t="s">
        <v>710</v>
      </c>
      <c r="D97" s="1901"/>
      <c r="E97" s="1901"/>
      <c r="F97" s="1902"/>
      <c r="S97" s="600" t="s">
        <v>698</v>
      </c>
      <c r="X97" s="602" t="s">
        <v>31</v>
      </c>
    </row>
    <row r="98" spans="1:27">
      <c r="B98" s="1990" t="s">
        <v>712</v>
      </c>
      <c r="C98" s="1990" t="s">
        <v>713</v>
      </c>
      <c r="D98" s="1974" t="s">
        <v>714</v>
      </c>
      <c r="E98" s="1975"/>
      <c r="F98" s="1990" t="s">
        <v>715</v>
      </c>
      <c r="G98" s="1974" t="s">
        <v>716</v>
      </c>
      <c r="H98" s="1975"/>
      <c r="I98" s="1974" t="s">
        <v>717</v>
      </c>
      <c r="J98" s="1975"/>
      <c r="K98" s="590"/>
      <c r="S98" s="603" t="s">
        <v>699</v>
      </c>
      <c r="X98" s="84">
        <f>'1.Dati'!F38</f>
        <v>4</v>
      </c>
      <c r="Y98" s="604"/>
      <c r="Z98" s="604" t="s">
        <v>700</v>
      </c>
      <c r="AA98" s="84">
        <f>ROUND(101.3/(1.3*101.3-0.3*(101.3-0.0113*X98)),3)</f>
        <v>1</v>
      </c>
    </row>
    <row r="99" spans="1:27" ht="16">
      <c r="B99" s="1991"/>
      <c r="C99" s="1991"/>
      <c r="D99" s="1970"/>
      <c r="E99" s="1971"/>
      <c r="F99" s="1991"/>
      <c r="G99" s="1970"/>
      <c r="H99" s="1971"/>
      <c r="I99" s="1970" t="s">
        <v>718</v>
      </c>
      <c r="J99" s="1971"/>
      <c r="K99" s="590"/>
      <c r="S99" s="605"/>
      <c r="V99" s="606" t="s">
        <v>701</v>
      </c>
      <c r="Y99" s="604"/>
      <c r="Z99" s="604" t="s">
        <v>702</v>
      </c>
      <c r="AA99" s="84">
        <v>0.95</v>
      </c>
    </row>
    <row r="100" spans="1:27" ht="16">
      <c r="B100" s="1161">
        <f>L69</f>
        <v>8575.4112293571652</v>
      </c>
      <c r="C100" s="84">
        <v>0.8</v>
      </c>
      <c r="D100" s="1900">
        <v>0.8</v>
      </c>
      <c r="E100" s="1902"/>
      <c r="F100" s="84">
        <v>0.9</v>
      </c>
      <c r="G100" s="1900">
        <f>C100*D100*F100</f>
        <v>0.57600000000000018</v>
      </c>
      <c r="H100" s="1902"/>
      <c r="I100" s="2030">
        <f>B100/G100</f>
        <v>14887.866717633962</v>
      </c>
      <c r="J100" s="2031"/>
      <c r="K100" s="617"/>
      <c r="S100" s="605"/>
      <c r="V100" s="606" t="s">
        <v>703</v>
      </c>
      <c r="Y100" s="604"/>
      <c r="Z100" s="604" t="s">
        <v>704</v>
      </c>
      <c r="AA100" s="84">
        <v>1</v>
      </c>
    </row>
    <row r="101" spans="1:27">
      <c r="B101" s="602" t="s">
        <v>201</v>
      </c>
      <c r="I101" s="2036" t="s">
        <v>201</v>
      </c>
      <c r="J101" s="2036"/>
      <c r="K101" s="1160"/>
      <c r="V101" s="606" t="s">
        <v>705</v>
      </c>
      <c r="Y101" s="604"/>
      <c r="Z101" s="604" t="s">
        <v>706</v>
      </c>
      <c r="AA101" s="84">
        <v>1</v>
      </c>
    </row>
    <row r="102" spans="1:27">
      <c r="Y102" s="1097" t="s">
        <v>707</v>
      </c>
      <c r="Z102" s="1097"/>
      <c r="AA102" s="608">
        <f>AA98*AA99*AA100*AA101</f>
        <v>0.95</v>
      </c>
    </row>
    <row r="104" spans="1:27">
      <c r="B104" s="609" t="s">
        <v>719</v>
      </c>
      <c r="C104" s="610"/>
      <c r="D104" s="610"/>
      <c r="E104" s="610"/>
      <c r="F104" s="610"/>
      <c r="G104" s="611"/>
      <c r="H104" s="626"/>
      <c r="I104" s="626"/>
      <c r="J104" s="612"/>
      <c r="U104" s="2028" t="s">
        <v>708</v>
      </c>
      <c r="V104" s="2029"/>
      <c r="W104" s="84">
        <v>123</v>
      </c>
      <c r="X104" s="602" t="s">
        <v>201</v>
      </c>
    </row>
    <row r="105" spans="1:27">
      <c r="U105" s="2028" t="s">
        <v>707</v>
      </c>
      <c r="V105" s="2029"/>
      <c r="W105" s="613">
        <f>AA102</f>
        <v>0.95</v>
      </c>
    </row>
    <row r="106" spans="1:27">
      <c r="B106" t="s">
        <v>720</v>
      </c>
      <c r="T106" s="614" t="s">
        <v>711</v>
      </c>
      <c r="U106" s="615"/>
      <c r="V106" s="616"/>
      <c r="W106" s="64">
        <f>W104*W105</f>
        <v>116.85</v>
      </c>
      <c r="X106" s="602" t="s">
        <v>201</v>
      </c>
    </row>
    <row r="108" spans="1:27">
      <c r="B108" s="604" t="s">
        <v>721</v>
      </c>
      <c r="C108">
        <f>I100*0.86</f>
        <v>12803.565377165207</v>
      </c>
      <c r="D108" t="s">
        <v>722</v>
      </c>
    </row>
    <row r="109" spans="1:27">
      <c r="B109" s="604"/>
    </row>
    <row r="110" spans="1:27">
      <c r="A110" s="1816" t="s">
        <v>723</v>
      </c>
      <c r="B110" s="1816"/>
      <c r="C110" s="2032" t="s">
        <v>724</v>
      </c>
      <c r="D110" s="2033" t="s">
        <v>885</v>
      </c>
      <c r="F110" t="s">
        <v>725</v>
      </c>
    </row>
    <row r="111" spans="1:27">
      <c r="A111" s="1816"/>
      <c r="B111" s="1816"/>
      <c r="C111" s="2032"/>
      <c r="D111" s="2033"/>
      <c r="F111" s="619" t="s">
        <v>726</v>
      </c>
    </row>
    <row r="113" spans="1:42">
      <c r="A113" s="1816" t="s">
        <v>727</v>
      </c>
      <c r="B113" s="604" t="s">
        <v>728</v>
      </c>
      <c r="C113">
        <f>C108/(1*10)</f>
        <v>1280.3565377165207</v>
      </c>
      <c r="D113" t="s">
        <v>729</v>
      </c>
      <c r="E113" s="50" t="s">
        <v>724</v>
      </c>
      <c r="F113">
        <f>C113</f>
        <v>1280.3565377165207</v>
      </c>
      <c r="G113" t="s">
        <v>730</v>
      </c>
      <c r="L113" s="1178" t="s">
        <v>886</v>
      </c>
      <c r="M113" s="1179"/>
      <c r="N113" s="1172"/>
      <c r="AD113" s="1180"/>
      <c r="AE113" s="1181"/>
      <c r="AF113" s="1185" t="s">
        <v>887</v>
      </c>
      <c r="AG113" s="1183"/>
      <c r="AH113" s="1182"/>
      <c r="AI113" s="1184"/>
    </row>
    <row r="114" spans="1:42">
      <c r="A114" s="1816"/>
      <c r="J114" s="2037" t="s">
        <v>777</v>
      </c>
      <c r="K114" s="2037"/>
      <c r="L114" s="2037"/>
      <c r="M114" s="2037"/>
      <c r="N114" s="2037"/>
      <c r="O114" s="2037"/>
      <c r="P114" s="2037"/>
      <c r="Q114" s="2037"/>
      <c r="R114" s="2037"/>
    </row>
    <row r="115" spans="1:42">
      <c r="B115" s="640"/>
      <c r="L115" s="620" t="s">
        <v>731</v>
      </c>
      <c r="P115" s="2034" t="s">
        <v>778</v>
      </c>
      <c r="Q115" s="2035"/>
      <c r="R115" s="2034" t="s">
        <v>778</v>
      </c>
      <c r="S115" s="2035"/>
      <c r="T115" s="2048" t="s">
        <v>958</v>
      </c>
      <c r="U115" s="2051" t="s">
        <v>780</v>
      </c>
      <c r="V115" s="1166" t="s">
        <v>781</v>
      </c>
      <c r="W115" s="2051" t="s">
        <v>785</v>
      </c>
      <c r="X115" s="1166" t="s">
        <v>781</v>
      </c>
      <c r="Y115" s="2051" t="s">
        <v>786</v>
      </c>
      <c r="Z115" s="1166" t="s">
        <v>781</v>
      </c>
      <c r="AA115" s="2051" t="s">
        <v>788</v>
      </c>
      <c r="AB115" s="1167" t="s">
        <v>775</v>
      </c>
      <c r="AC115" s="1168"/>
      <c r="AD115" s="1169" t="s">
        <v>781</v>
      </c>
      <c r="AE115" s="2054" t="s">
        <v>789</v>
      </c>
      <c r="AF115" s="1169" t="s">
        <v>781</v>
      </c>
      <c r="AG115" s="2054" t="s">
        <v>792</v>
      </c>
      <c r="AH115" s="2054" t="s">
        <v>781</v>
      </c>
      <c r="AI115" s="2054" t="s">
        <v>793</v>
      </c>
      <c r="AJ115" s="2034" t="s">
        <v>775</v>
      </c>
      <c r="AK115" s="2035"/>
      <c r="AL115" s="2034" t="s">
        <v>775</v>
      </c>
      <c r="AM115" s="2035"/>
      <c r="AN115" s="2034" t="s">
        <v>796</v>
      </c>
      <c r="AO115" s="2035"/>
    </row>
    <row r="116" spans="1:42" ht="16">
      <c r="B116" s="640"/>
      <c r="D116" s="2020" t="s">
        <v>733</v>
      </c>
      <c r="E116" s="2021"/>
      <c r="F116" s="2020" t="s">
        <v>685</v>
      </c>
      <c r="G116" s="2021"/>
      <c r="H116" s="2020" t="s">
        <v>685</v>
      </c>
      <c r="I116" s="2021"/>
      <c r="J116" s="2020" t="s">
        <v>734</v>
      </c>
      <c r="K116" s="2021"/>
      <c r="L116" s="2022" t="s">
        <v>735</v>
      </c>
      <c r="M116" s="2023"/>
      <c r="N116" s="621" t="s">
        <v>736</v>
      </c>
      <c r="O116" s="621" t="s">
        <v>737</v>
      </c>
      <c r="P116" s="2046" t="s">
        <v>738</v>
      </c>
      <c r="Q116" s="2047"/>
      <c r="R116" s="2046" t="s">
        <v>779</v>
      </c>
      <c r="S116" s="2047"/>
      <c r="T116" s="2049"/>
      <c r="U116" s="2052"/>
      <c r="V116" s="1098" t="s">
        <v>782</v>
      </c>
      <c r="W116" s="2052"/>
      <c r="X116" s="1098" t="s">
        <v>782</v>
      </c>
      <c r="Y116" s="2052"/>
      <c r="Z116" s="1098" t="s">
        <v>782</v>
      </c>
      <c r="AA116" s="2052"/>
      <c r="AB116" s="697" t="s">
        <v>738</v>
      </c>
      <c r="AC116" s="698"/>
      <c r="AD116" s="1101" t="s">
        <v>790</v>
      </c>
      <c r="AE116" s="2055"/>
      <c r="AF116" s="1101" t="s">
        <v>791</v>
      </c>
      <c r="AG116" s="2055"/>
      <c r="AH116" s="2055"/>
      <c r="AI116" s="2055"/>
      <c r="AJ116" s="2046" t="s">
        <v>794</v>
      </c>
      <c r="AK116" s="2047"/>
      <c r="AL116" s="2046" t="s">
        <v>795</v>
      </c>
      <c r="AM116" s="2047"/>
      <c r="AN116" s="2046" t="s">
        <v>797</v>
      </c>
      <c r="AO116" s="2047"/>
    </row>
    <row r="117" spans="1:42">
      <c r="D117" s="2020"/>
      <c r="E117" s="2021"/>
      <c r="F117" s="1586" t="s">
        <v>201</v>
      </c>
      <c r="G117" s="1587"/>
      <c r="H117" s="1586" t="s">
        <v>739</v>
      </c>
      <c r="I117" s="1587"/>
      <c r="J117" s="1586" t="s">
        <v>740</v>
      </c>
      <c r="K117" s="1587"/>
      <c r="L117" s="2016" t="s">
        <v>741</v>
      </c>
      <c r="M117" s="2017"/>
      <c r="N117" s="622" t="s">
        <v>742</v>
      </c>
      <c r="O117" s="622" t="s">
        <v>743</v>
      </c>
      <c r="P117" s="2044" t="s">
        <v>744</v>
      </c>
      <c r="Q117" s="2045"/>
      <c r="R117" s="2044" t="s">
        <v>744</v>
      </c>
      <c r="S117" s="2045"/>
      <c r="T117" s="2050"/>
      <c r="U117" s="2053"/>
      <c r="V117" s="670" t="s">
        <v>783</v>
      </c>
      <c r="W117" s="2053"/>
      <c r="X117" s="670" t="s">
        <v>784</v>
      </c>
      <c r="Y117" s="2053"/>
      <c r="Z117" s="670" t="s">
        <v>787</v>
      </c>
      <c r="AA117" s="2053"/>
      <c r="AB117" s="1170" t="s">
        <v>744</v>
      </c>
      <c r="AC117" s="1171"/>
      <c r="AD117" s="1102"/>
      <c r="AE117" s="2056"/>
      <c r="AF117" s="1102"/>
      <c r="AG117" s="2056"/>
      <c r="AH117" s="2056"/>
      <c r="AI117" s="2056"/>
      <c r="AJ117" s="2057" t="s">
        <v>744</v>
      </c>
      <c r="AK117" s="2058"/>
      <c r="AL117" s="2044" t="s">
        <v>744</v>
      </c>
      <c r="AM117" s="2045"/>
      <c r="AN117" s="2044" t="s">
        <v>744</v>
      </c>
      <c r="AO117" s="2061"/>
      <c r="AP117" s="495"/>
    </row>
    <row r="118" spans="1:42" ht="15" customHeight="1">
      <c r="A118" s="1484" t="s">
        <v>34</v>
      </c>
      <c r="B118" s="1796" t="s">
        <v>809</v>
      </c>
      <c r="C118" s="1275" t="s">
        <v>9</v>
      </c>
      <c r="D118" s="1988">
        <f>M9</f>
        <v>2</v>
      </c>
      <c r="E118" s="1989"/>
      <c r="F118" s="1988">
        <f>L9</f>
        <v>206.3969807178818</v>
      </c>
      <c r="G118" s="1989"/>
      <c r="H118" s="1988">
        <f>F118*0.86</f>
        <v>177.50140341737836</v>
      </c>
      <c r="I118" s="2025"/>
      <c r="J118" s="1951">
        <f>H118/(1*10)</f>
        <v>17.750140341737836</v>
      </c>
      <c r="K118" s="2015"/>
      <c r="L118" s="2026">
        <v>4</v>
      </c>
      <c r="M118" s="2027"/>
      <c r="N118" s="652">
        <v>0.12</v>
      </c>
      <c r="O118" s="655">
        <v>10.7</v>
      </c>
      <c r="P118" s="1974">
        <f>L118*O118</f>
        <v>42.8</v>
      </c>
      <c r="Q118" s="1975"/>
      <c r="R118" s="1974">
        <f>P118+$P$181</f>
        <v>72.8</v>
      </c>
      <c r="S118" s="1994"/>
      <c r="T118" s="671">
        <v>1</v>
      </c>
      <c r="U118" s="672">
        <v>3</v>
      </c>
      <c r="V118" s="673">
        <v>0</v>
      </c>
      <c r="W118" s="674">
        <v>2</v>
      </c>
      <c r="X118" s="675">
        <v>0</v>
      </c>
      <c r="Y118" s="674">
        <v>1.5</v>
      </c>
      <c r="Z118" s="675">
        <v>0</v>
      </c>
      <c r="AA118" s="673">
        <v>1</v>
      </c>
      <c r="AB118" s="1961">
        <f>(1/2*1000*N118^2*SUM(T118*U118,V118*W118,X118*Y118,Z118*AA118)/10)</f>
        <v>2.16</v>
      </c>
      <c r="AC118" s="1962"/>
      <c r="AD118" s="686">
        <v>1</v>
      </c>
      <c r="AE118" s="685">
        <v>4</v>
      </c>
      <c r="AF118" s="1286">
        <v>1</v>
      </c>
      <c r="AG118" s="1288">
        <v>0.5</v>
      </c>
      <c r="AH118" s="684">
        <v>1</v>
      </c>
      <c r="AI118" s="687">
        <v>3</v>
      </c>
      <c r="AJ118" s="1947">
        <f t="shared" ref="AJ118:AJ125" si="7">(1/2*1000*$N$181^2*SUM(AD118*AE118,AF118*AG118,AH118*AI118)/10)</f>
        <v>375</v>
      </c>
      <c r="AK118" s="2059"/>
      <c r="AL118" s="1951">
        <f>SUM(AB118,AJ118)</f>
        <v>377.16</v>
      </c>
      <c r="AM118" s="2015"/>
      <c r="AN118" s="1951">
        <f>SUM(R118,AL118)</f>
        <v>449.96000000000004</v>
      </c>
      <c r="AO118" s="1952"/>
    </row>
    <row r="119" spans="1:42">
      <c r="A119" s="1485"/>
      <c r="B119" s="1797"/>
      <c r="C119" s="1276" t="s">
        <v>804</v>
      </c>
      <c r="D119" s="1983">
        <f>M10</f>
        <v>7</v>
      </c>
      <c r="E119" s="1985"/>
      <c r="F119" s="1983">
        <f t="shared" ref="F119:F134" si="8">L10</f>
        <v>703.63300788122501</v>
      </c>
      <c r="G119" s="1985"/>
      <c r="H119" s="1983">
        <f t="shared" ref="H119:H176" si="9">F119*0.86</f>
        <v>605.12438677785349</v>
      </c>
      <c r="I119" s="1984"/>
      <c r="J119" s="1941">
        <f t="shared" ref="J119:J177" si="10">H119/(1*10)</f>
        <v>60.512438677785347</v>
      </c>
      <c r="K119" s="1950"/>
      <c r="L119" s="1977">
        <v>24</v>
      </c>
      <c r="M119" s="1978"/>
      <c r="N119" s="653">
        <v>0.33</v>
      </c>
      <c r="O119" s="660">
        <v>6.5</v>
      </c>
      <c r="P119" s="1968">
        <f t="shared" ref="P119:P127" si="11">L119*O119</f>
        <v>156</v>
      </c>
      <c r="Q119" s="1969"/>
      <c r="R119" s="1968">
        <f>P119+$P$181</f>
        <v>186</v>
      </c>
      <c r="S119" s="1976"/>
      <c r="T119" s="676">
        <v>1</v>
      </c>
      <c r="U119" s="677">
        <v>3</v>
      </c>
      <c r="V119" s="678">
        <v>0</v>
      </c>
      <c r="W119" s="679">
        <v>2</v>
      </c>
      <c r="X119" s="680">
        <v>0</v>
      </c>
      <c r="Y119" s="679">
        <v>1.5</v>
      </c>
      <c r="Z119" s="680">
        <v>0</v>
      </c>
      <c r="AA119" s="678">
        <v>1</v>
      </c>
      <c r="AB119" s="1955">
        <f>(1/2*1000*N119^2*SUM(T119*U119,V119*W119,X119*Y119,Z119*AA119)/10)</f>
        <v>16.335000000000001</v>
      </c>
      <c r="AC119" s="1956"/>
      <c r="AD119" s="690">
        <v>1</v>
      </c>
      <c r="AE119" s="689">
        <v>4</v>
      </c>
      <c r="AF119" s="1287">
        <v>1</v>
      </c>
      <c r="AG119" s="696">
        <v>0.5</v>
      </c>
      <c r="AH119" s="688">
        <v>1</v>
      </c>
      <c r="AI119" s="691">
        <v>3</v>
      </c>
      <c r="AJ119" s="1945">
        <f t="shared" si="7"/>
        <v>375</v>
      </c>
      <c r="AK119" s="1946"/>
      <c r="AL119" s="1941">
        <f t="shared" ref="AL119:AL177" si="12">SUM(AB119,AJ119)</f>
        <v>391.33499999999998</v>
      </c>
      <c r="AM119" s="1950"/>
      <c r="AN119" s="1941">
        <f t="shared" ref="AN119:AN177" si="13">SUM(R119,AL119)</f>
        <v>577.33500000000004</v>
      </c>
      <c r="AO119" s="1942"/>
    </row>
    <row r="120" spans="1:42">
      <c r="A120" s="1485"/>
      <c r="B120" s="1797"/>
      <c r="C120" s="1276" t="s">
        <v>22</v>
      </c>
      <c r="D120" s="1983">
        <f t="shared" ref="D120:D127" si="14">M11</f>
        <v>0</v>
      </c>
      <c r="E120" s="1985"/>
      <c r="F120" s="1983">
        <f t="shared" si="8"/>
        <v>20.910687433771471</v>
      </c>
      <c r="G120" s="1985"/>
      <c r="H120" s="1983">
        <f t="shared" si="9"/>
        <v>17.983191193043464</v>
      </c>
      <c r="I120" s="1984"/>
      <c r="J120" s="1941">
        <f t="shared" si="10"/>
        <v>1.7983191193043464</v>
      </c>
      <c r="K120" s="1950"/>
      <c r="L120" s="1977">
        <v>2</v>
      </c>
      <c r="M120" s="1978"/>
      <c r="N120" s="653">
        <v>0.08</v>
      </c>
      <c r="O120" s="660">
        <v>5.7</v>
      </c>
      <c r="P120" s="1968">
        <f t="shared" si="11"/>
        <v>11.4</v>
      </c>
      <c r="Q120" s="1969"/>
      <c r="R120" s="1968">
        <f t="shared" ref="R120:R127" si="15">P120+$P$181</f>
        <v>41.4</v>
      </c>
      <c r="S120" s="1976"/>
      <c r="T120" s="676">
        <v>0</v>
      </c>
      <c r="U120" s="677">
        <v>3</v>
      </c>
      <c r="V120" s="678">
        <v>0</v>
      </c>
      <c r="W120" s="679">
        <v>2</v>
      </c>
      <c r="X120" s="680">
        <v>0</v>
      </c>
      <c r="Y120" s="679">
        <v>1.5</v>
      </c>
      <c r="Z120" s="680">
        <v>0</v>
      </c>
      <c r="AA120" s="678">
        <v>1</v>
      </c>
      <c r="AB120" s="1955">
        <f t="shared" ref="AB120:AB134" si="16">(1/2*1000*N120^2*SUM(T120*U120,V120*W120,X120*Y120,Z120*AA120)/10)</f>
        <v>0</v>
      </c>
      <c r="AC120" s="1956"/>
      <c r="AD120" s="690">
        <v>0</v>
      </c>
      <c r="AE120" s="689">
        <v>4</v>
      </c>
      <c r="AF120" s="1287">
        <v>0</v>
      </c>
      <c r="AG120" s="696">
        <v>0.5</v>
      </c>
      <c r="AH120" s="688">
        <v>0</v>
      </c>
      <c r="AI120" s="691">
        <v>3</v>
      </c>
      <c r="AJ120" s="1945">
        <f t="shared" si="7"/>
        <v>0</v>
      </c>
      <c r="AK120" s="1946"/>
      <c r="AL120" s="1941">
        <f t="shared" si="12"/>
        <v>0</v>
      </c>
      <c r="AM120" s="1950"/>
      <c r="AN120" s="1941">
        <f t="shared" si="13"/>
        <v>41.4</v>
      </c>
      <c r="AO120" s="1942"/>
    </row>
    <row r="121" spans="1:42">
      <c r="A121" s="1485"/>
      <c r="B121" s="1797"/>
      <c r="C121" s="1276" t="s">
        <v>803</v>
      </c>
      <c r="D121" s="1983">
        <f t="shared" si="14"/>
        <v>1</v>
      </c>
      <c r="E121" s="1985"/>
      <c r="F121" s="1983">
        <f t="shared" si="8"/>
        <v>39.712154858726329</v>
      </c>
      <c r="G121" s="1985"/>
      <c r="H121" s="1983">
        <f t="shared" si="9"/>
        <v>34.152453178504643</v>
      </c>
      <c r="I121" s="1984"/>
      <c r="J121" s="1941">
        <f t="shared" si="10"/>
        <v>3.4152453178504643</v>
      </c>
      <c r="K121" s="1950"/>
      <c r="L121" s="1977">
        <v>2</v>
      </c>
      <c r="M121" s="1978"/>
      <c r="N121" s="653">
        <v>0.08</v>
      </c>
      <c r="O121" s="660">
        <v>5.2</v>
      </c>
      <c r="P121" s="1968">
        <f t="shared" si="11"/>
        <v>10.4</v>
      </c>
      <c r="Q121" s="1969"/>
      <c r="R121" s="1968">
        <f t="shared" si="15"/>
        <v>40.4</v>
      </c>
      <c r="S121" s="1976"/>
      <c r="T121" s="676">
        <v>1</v>
      </c>
      <c r="U121" s="677">
        <v>3</v>
      </c>
      <c r="V121" s="678">
        <v>0</v>
      </c>
      <c r="W121" s="679">
        <v>2</v>
      </c>
      <c r="X121" s="680">
        <v>1</v>
      </c>
      <c r="Y121" s="679">
        <v>1.5</v>
      </c>
      <c r="Z121" s="680">
        <v>0</v>
      </c>
      <c r="AA121" s="678">
        <v>1</v>
      </c>
      <c r="AB121" s="1955">
        <f t="shared" si="16"/>
        <v>1.44</v>
      </c>
      <c r="AC121" s="1956"/>
      <c r="AD121" s="690">
        <v>1</v>
      </c>
      <c r="AE121" s="689">
        <v>4</v>
      </c>
      <c r="AF121" s="1287">
        <v>1</v>
      </c>
      <c r="AG121" s="696">
        <v>0.5</v>
      </c>
      <c r="AH121" s="688">
        <v>1</v>
      </c>
      <c r="AI121" s="691">
        <v>3</v>
      </c>
      <c r="AJ121" s="1945">
        <f t="shared" si="7"/>
        <v>375</v>
      </c>
      <c r="AK121" s="1946"/>
      <c r="AL121" s="1941">
        <f t="shared" si="12"/>
        <v>376.44</v>
      </c>
      <c r="AM121" s="1950"/>
      <c r="AN121" s="1941">
        <f t="shared" si="13"/>
        <v>416.84</v>
      </c>
      <c r="AO121" s="1942"/>
    </row>
    <row r="122" spans="1:42">
      <c r="A122" s="1485"/>
      <c r="B122" s="1797"/>
      <c r="C122" s="1276" t="s">
        <v>802</v>
      </c>
      <c r="D122" s="1983">
        <f t="shared" si="14"/>
        <v>1</v>
      </c>
      <c r="E122" s="1985"/>
      <c r="F122" s="1983">
        <f t="shared" si="8"/>
        <v>110.27077250326454</v>
      </c>
      <c r="G122" s="1985"/>
      <c r="H122" s="1983">
        <f t="shared" si="9"/>
        <v>94.832864352807505</v>
      </c>
      <c r="I122" s="1984"/>
      <c r="J122" s="1941">
        <f t="shared" si="10"/>
        <v>9.4832864352807498</v>
      </c>
      <c r="K122" s="1950"/>
      <c r="L122" s="1977">
        <v>2</v>
      </c>
      <c r="M122" s="1978"/>
      <c r="N122" s="653">
        <v>0.08</v>
      </c>
      <c r="O122" s="660">
        <v>6.24</v>
      </c>
      <c r="P122" s="1968">
        <f t="shared" si="11"/>
        <v>12.48</v>
      </c>
      <c r="Q122" s="1969"/>
      <c r="R122" s="1968">
        <f t="shared" si="15"/>
        <v>42.480000000000004</v>
      </c>
      <c r="S122" s="1976"/>
      <c r="T122" s="676">
        <v>1</v>
      </c>
      <c r="U122" s="677">
        <v>3</v>
      </c>
      <c r="V122" s="678">
        <v>0</v>
      </c>
      <c r="W122" s="679">
        <v>2</v>
      </c>
      <c r="X122" s="680">
        <v>0</v>
      </c>
      <c r="Y122" s="679">
        <v>1.5</v>
      </c>
      <c r="Z122" s="680">
        <v>0</v>
      </c>
      <c r="AA122" s="678">
        <v>1</v>
      </c>
      <c r="AB122" s="1955">
        <f t="shared" si="16"/>
        <v>0.96000000000000019</v>
      </c>
      <c r="AC122" s="1956"/>
      <c r="AD122" s="690">
        <v>1</v>
      </c>
      <c r="AE122" s="689">
        <v>4</v>
      </c>
      <c r="AF122" s="1287">
        <v>1</v>
      </c>
      <c r="AG122" s="696">
        <v>0.5</v>
      </c>
      <c r="AH122" s="688">
        <v>1</v>
      </c>
      <c r="AI122" s="691">
        <v>3</v>
      </c>
      <c r="AJ122" s="1945">
        <f t="shared" si="7"/>
        <v>375</v>
      </c>
      <c r="AK122" s="1946"/>
      <c r="AL122" s="1941">
        <f t="shared" si="12"/>
        <v>375.96</v>
      </c>
      <c r="AM122" s="1950"/>
      <c r="AN122" s="1941">
        <f t="shared" si="13"/>
        <v>418.44</v>
      </c>
      <c r="AO122" s="1942"/>
    </row>
    <row r="123" spans="1:42">
      <c r="A123" s="1485"/>
      <c r="B123" s="1797"/>
      <c r="C123" s="1276" t="s">
        <v>587</v>
      </c>
      <c r="D123" s="1983">
        <f t="shared" si="14"/>
        <v>1</v>
      </c>
      <c r="E123" s="1985"/>
      <c r="F123" s="1983">
        <f t="shared" si="8"/>
        <v>112.45077286231182</v>
      </c>
      <c r="G123" s="1985"/>
      <c r="H123" s="1983">
        <f t="shared" si="9"/>
        <v>96.707664661588169</v>
      </c>
      <c r="I123" s="1984"/>
      <c r="J123" s="1941">
        <f t="shared" si="10"/>
        <v>9.6707664661588169</v>
      </c>
      <c r="K123" s="1950"/>
      <c r="L123" s="1977">
        <v>2</v>
      </c>
      <c r="M123" s="1978"/>
      <c r="N123" s="653">
        <v>0.08</v>
      </c>
      <c r="O123" s="660">
        <v>8</v>
      </c>
      <c r="P123" s="1968">
        <f t="shared" si="11"/>
        <v>16</v>
      </c>
      <c r="Q123" s="1969"/>
      <c r="R123" s="1968">
        <f t="shared" si="15"/>
        <v>46</v>
      </c>
      <c r="S123" s="1976"/>
      <c r="T123" s="676">
        <v>1</v>
      </c>
      <c r="U123" s="677">
        <v>3</v>
      </c>
      <c r="V123" s="678">
        <v>0</v>
      </c>
      <c r="W123" s="679">
        <v>2</v>
      </c>
      <c r="X123" s="680">
        <v>0</v>
      </c>
      <c r="Y123" s="679">
        <v>1.5</v>
      </c>
      <c r="Z123" s="680">
        <v>0</v>
      </c>
      <c r="AA123" s="678">
        <v>1</v>
      </c>
      <c r="AB123" s="1955">
        <f t="shared" si="16"/>
        <v>0.96000000000000019</v>
      </c>
      <c r="AC123" s="1956"/>
      <c r="AD123" s="690">
        <v>1</v>
      </c>
      <c r="AE123" s="689">
        <v>4</v>
      </c>
      <c r="AF123" s="1287">
        <v>1</v>
      </c>
      <c r="AG123" s="696">
        <v>0.5</v>
      </c>
      <c r="AH123" s="688">
        <v>1</v>
      </c>
      <c r="AI123" s="691">
        <v>3</v>
      </c>
      <c r="AJ123" s="1945">
        <f t="shared" si="7"/>
        <v>375</v>
      </c>
      <c r="AK123" s="1946"/>
      <c r="AL123" s="1941">
        <f t="shared" si="12"/>
        <v>375.96</v>
      </c>
      <c r="AM123" s="1950"/>
      <c r="AN123" s="1941">
        <f t="shared" si="13"/>
        <v>421.96</v>
      </c>
      <c r="AO123" s="1942"/>
    </row>
    <row r="124" spans="1:42">
      <c r="A124" s="1485"/>
      <c r="B124" s="1797"/>
      <c r="C124" s="1276" t="s">
        <v>20</v>
      </c>
      <c r="D124" s="1983">
        <f t="shared" si="14"/>
        <v>2</v>
      </c>
      <c r="E124" s="1985"/>
      <c r="F124" s="1983">
        <f t="shared" si="8"/>
        <v>200.51199876087233</v>
      </c>
      <c r="G124" s="1985"/>
      <c r="H124" s="1983">
        <f t="shared" si="9"/>
        <v>172.44031893435019</v>
      </c>
      <c r="I124" s="1984"/>
      <c r="J124" s="1941">
        <f t="shared" si="10"/>
        <v>17.244031893435018</v>
      </c>
      <c r="K124" s="1950"/>
      <c r="L124" s="1977">
        <v>4</v>
      </c>
      <c r="M124" s="1978"/>
      <c r="N124" s="653">
        <v>0.12</v>
      </c>
      <c r="O124" s="660">
        <v>5</v>
      </c>
      <c r="P124" s="1968">
        <f t="shared" si="11"/>
        <v>20</v>
      </c>
      <c r="Q124" s="1969"/>
      <c r="R124" s="1968">
        <f t="shared" si="15"/>
        <v>50</v>
      </c>
      <c r="S124" s="1976"/>
      <c r="T124" s="676">
        <v>1</v>
      </c>
      <c r="U124" s="677">
        <v>3</v>
      </c>
      <c r="V124" s="678">
        <v>0</v>
      </c>
      <c r="W124" s="679">
        <v>2</v>
      </c>
      <c r="X124" s="680">
        <v>0</v>
      </c>
      <c r="Y124" s="679">
        <v>1.5</v>
      </c>
      <c r="Z124" s="680">
        <v>0</v>
      </c>
      <c r="AA124" s="678">
        <v>1</v>
      </c>
      <c r="AB124" s="1955">
        <f t="shared" si="16"/>
        <v>2.16</v>
      </c>
      <c r="AC124" s="1956"/>
      <c r="AD124" s="690">
        <v>1</v>
      </c>
      <c r="AE124" s="689">
        <v>4</v>
      </c>
      <c r="AF124" s="1287">
        <v>1</v>
      </c>
      <c r="AG124" s="696">
        <v>0.5</v>
      </c>
      <c r="AH124" s="688">
        <v>1</v>
      </c>
      <c r="AI124" s="691">
        <v>3</v>
      </c>
      <c r="AJ124" s="1945">
        <f t="shared" si="7"/>
        <v>375</v>
      </c>
      <c r="AK124" s="1946"/>
      <c r="AL124" s="1941">
        <f t="shared" si="12"/>
        <v>377.16</v>
      </c>
      <c r="AM124" s="1950"/>
      <c r="AN124" s="1941">
        <f t="shared" si="13"/>
        <v>427.16</v>
      </c>
      <c r="AO124" s="1942"/>
    </row>
    <row r="125" spans="1:42" ht="15" customHeight="1">
      <c r="A125" s="1485"/>
      <c r="B125" s="1797"/>
      <c r="C125" s="1276" t="s">
        <v>586</v>
      </c>
      <c r="D125" s="1983">
        <f t="shared" si="14"/>
        <v>1</v>
      </c>
      <c r="E125" s="1985"/>
      <c r="F125" s="1983">
        <f t="shared" si="8"/>
        <v>104.7815134126902</v>
      </c>
      <c r="G125" s="1985"/>
      <c r="H125" s="1983">
        <f t="shared" si="9"/>
        <v>90.112101534913577</v>
      </c>
      <c r="I125" s="1984"/>
      <c r="J125" s="1941">
        <f t="shared" si="10"/>
        <v>9.0112101534913585</v>
      </c>
      <c r="K125" s="1950"/>
      <c r="L125" s="1977">
        <v>2</v>
      </c>
      <c r="M125" s="1978"/>
      <c r="N125" s="653">
        <v>0.08</v>
      </c>
      <c r="O125" s="660">
        <v>5.5</v>
      </c>
      <c r="P125" s="1968">
        <f t="shared" si="11"/>
        <v>11</v>
      </c>
      <c r="Q125" s="1969"/>
      <c r="R125" s="1968">
        <f t="shared" si="15"/>
        <v>41</v>
      </c>
      <c r="S125" s="1976"/>
      <c r="T125" s="676">
        <v>1</v>
      </c>
      <c r="U125" s="677">
        <v>3</v>
      </c>
      <c r="V125" s="1099">
        <v>0</v>
      </c>
      <c r="W125" s="679">
        <v>2</v>
      </c>
      <c r="X125" s="680">
        <v>0</v>
      </c>
      <c r="Y125" s="679">
        <v>1.5</v>
      </c>
      <c r="Z125" s="680">
        <v>0</v>
      </c>
      <c r="AA125" s="1151">
        <v>1</v>
      </c>
      <c r="AB125" s="1955">
        <f t="shared" ref="AB125" si="17">(1/2*1000*N125^2*SUM(T125*U125,V125*W125,X125*Y125,Z125*AA125)/10)</f>
        <v>0.96000000000000019</v>
      </c>
      <c r="AC125" s="1956"/>
      <c r="AD125" s="690">
        <v>1</v>
      </c>
      <c r="AE125" s="689">
        <v>4</v>
      </c>
      <c r="AF125" s="1287">
        <v>1</v>
      </c>
      <c r="AG125" s="696">
        <v>0.5</v>
      </c>
      <c r="AH125" s="688">
        <v>1</v>
      </c>
      <c r="AI125" s="691">
        <v>3</v>
      </c>
      <c r="AJ125" s="1945">
        <f t="shared" si="7"/>
        <v>375</v>
      </c>
      <c r="AK125" s="1946"/>
      <c r="AL125" s="1941">
        <f t="shared" si="12"/>
        <v>375.96</v>
      </c>
      <c r="AM125" s="1950"/>
      <c r="AN125" s="1941">
        <f t="shared" si="13"/>
        <v>416.96</v>
      </c>
      <c r="AO125" s="1942"/>
    </row>
    <row r="126" spans="1:42" ht="15" customHeight="1">
      <c r="A126" s="1485"/>
      <c r="B126" s="1797"/>
      <c r="C126" s="1276" t="s">
        <v>19</v>
      </c>
      <c r="D126" s="1983">
        <f t="shared" si="14"/>
        <v>2</v>
      </c>
      <c r="E126" s="1985"/>
      <c r="F126" s="1983">
        <f t="shared" si="8"/>
        <v>146.22149350645282</v>
      </c>
      <c r="G126" s="1985"/>
      <c r="H126" s="1983">
        <f t="shared" si="9"/>
        <v>125.75048441554942</v>
      </c>
      <c r="I126" s="1984"/>
      <c r="J126" s="1941">
        <f t="shared" si="10"/>
        <v>12.575048441554943</v>
      </c>
      <c r="K126" s="1950"/>
      <c r="L126" s="1977">
        <v>6</v>
      </c>
      <c r="M126" s="1978"/>
      <c r="N126" s="653">
        <v>0.15</v>
      </c>
      <c r="O126" s="660">
        <v>0</v>
      </c>
      <c r="P126" s="1968">
        <f t="shared" si="11"/>
        <v>0</v>
      </c>
      <c r="Q126" s="1969"/>
      <c r="R126" s="1968">
        <f t="shared" si="15"/>
        <v>30</v>
      </c>
      <c r="S126" s="1976"/>
      <c r="T126" s="676">
        <v>1</v>
      </c>
      <c r="U126" s="677">
        <v>3</v>
      </c>
      <c r="V126" s="1099">
        <v>0</v>
      </c>
      <c r="W126" s="677">
        <v>0</v>
      </c>
      <c r="X126" s="676">
        <v>0</v>
      </c>
      <c r="Y126" s="683">
        <v>0</v>
      </c>
      <c r="Z126" s="676">
        <v>1</v>
      </c>
      <c r="AA126" s="1100">
        <v>0</v>
      </c>
      <c r="AB126" s="1955">
        <f t="shared" si="16"/>
        <v>3.375</v>
      </c>
      <c r="AC126" s="1956"/>
      <c r="AD126" s="694">
        <v>1</v>
      </c>
      <c r="AE126" s="695">
        <v>4</v>
      </c>
      <c r="AF126" s="694">
        <v>1</v>
      </c>
      <c r="AG126" s="696">
        <v>0.5</v>
      </c>
      <c r="AH126" s="694">
        <v>1</v>
      </c>
      <c r="AI126" s="691">
        <v>3</v>
      </c>
      <c r="AJ126" s="1945">
        <f>(1/2*1000*$N$182^2*SUM(AD126*AE126,AF126*AG126,AH126*AI126)/10)</f>
        <v>317.40000000000003</v>
      </c>
      <c r="AK126" s="1946"/>
      <c r="AL126" s="1941">
        <f t="shared" si="12"/>
        <v>320.77500000000003</v>
      </c>
      <c r="AM126" s="1950"/>
      <c r="AN126" s="1941">
        <f>SUM(R126,AL126)</f>
        <v>350.77500000000003</v>
      </c>
      <c r="AO126" s="1942"/>
    </row>
    <row r="127" spans="1:42">
      <c r="A127" s="1485"/>
      <c r="B127" s="1798"/>
      <c r="C127" s="1276" t="s">
        <v>588</v>
      </c>
      <c r="D127" s="1986">
        <f t="shared" si="14"/>
        <v>0</v>
      </c>
      <c r="E127" s="1987"/>
      <c r="F127" s="1986">
        <f t="shared" si="8"/>
        <v>40.853632563201316</v>
      </c>
      <c r="G127" s="1987"/>
      <c r="H127" s="1983">
        <f t="shared" si="9"/>
        <v>35.134124004353133</v>
      </c>
      <c r="I127" s="1984"/>
      <c r="J127" s="1941">
        <f t="shared" si="10"/>
        <v>3.5134124004353131</v>
      </c>
      <c r="K127" s="1950"/>
      <c r="L127" s="1977">
        <v>2</v>
      </c>
      <c r="M127" s="1978"/>
      <c r="N127" s="653">
        <v>0.08</v>
      </c>
      <c r="O127" s="660">
        <v>3</v>
      </c>
      <c r="P127" s="1970">
        <f t="shared" si="11"/>
        <v>6</v>
      </c>
      <c r="Q127" s="1971"/>
      <c r="R127" s="1968">
        <f t="shared" si="15"/>
        <v>36</v>
      </c>
      <c r="S127" s="1976"/>
      <c r="T127" s="676">
        <v>1</v>
      </c>
      <c r="U127" s="677">
        <v>3</v>
      </c>
      <c r="V127" s="678">
        <v>0</v>
      </c>
      <c r="W127" s="677">
        <v>0</v>
      </c>
      <c r="X127" s="676">
        <f t="shared" ref="X127" si="18">X119</f>
        <v>0</v>
      </c>
      <c r="Y127" s="683">
        <v>0</v>
      </c>
      <c r="Z127" s="676">
        <v>0</v>
      </c>
      <c r="AA127" s="680">
        <v>0</v>
      </c>
      <c r="AB127" s="1955">
        <f t="shared" si="16"/>
        <v>0.96000000000000019</v>
      </c>
      <c r="AC127" s="1956"/>
      <c r="AD127" s="694">
        <v>1</v>
      </c>
      <c r="AE127" s="695">
        <v>4</v>
      </c>
      <c r="AF127" s="694">
        <v>1</v>
      </c>
      <c r="AG127" s="1289">
        <v>0.5</v>
      </c>
      <c r="AH127" s="694">
        <v>1</v>
      </c>
      <c r="AI127" s="691">
        <v>3</v>
      </c>
      <c r="AJ127" s="1945">
        <f t="shared" ref="AJ127:AJ133" si="19">(1/2*1000*$N$182^2*SUM(AD127*AE127,AF127*AG127,AH127*AI127)/10)</f>
        <v>317.40000000000003</v>
      </c>
      <c r="AK127" s="1946"/>
      <c r="AL127" s="1941">
        <f t="shared" si="12"/>
        <v>318.36</v>
      </c>
      <c r="AM127" s="1950"/>
      <c r="AN127" s="1941">
        <f t="shared" si="13"/>
        <v>354.36</v>
      </c>
      <c r="AO127" s="1942"/>
    </row>
    <row r="128" spans="1:42">
      <c r="A128" s="1485"/>
      <c r="B128" s="1799" t="s">
        <v>810</v>
      </c>
      <c r="C128" s="1275" t="s">
        <v>9</v>
      </c>
      <c r="D128" s="1988">
        <f>M19</f>
        <v>2</v>
      </c>
      <c r="E128" s="1989"/>
      <c r="F128" s="1988">
        <f t="shared" si="8"/>
        <v>204.51081257232704</v>
      </c>
      <c r="G128" s="1989"/>
      <c r="H128" s="1988">
        <f t="shared" si="9"/>
        <v>175.87929881220126</v>
      </c>
      <c r="I128" s="2025"/>
      <c r="J128" s="1951">
        <f>H128/(1*10)</f>
        <v>17.587929881220127</v>
      </c>
      <c r="K128" s="1952"/>
      <c r="L128" s="1981">
        <f>L118</f>
        <v>4</v>
      </c>
      <c r="M128" s="1982"/>
      <c r="N128" s="650">
        <f>N118</f>
        <v>0.12</v>
      </c>
      <c r="O128" s="1173">
        <f>O118</f>
        <v>10.7</v>
      </c>
      <c r="P128" s="1974">
        <f>L128*O128</f>
        <v>42.8</v>
      </c>
      <c r="Q128" s="1994"/>
      <c r="R128" s="1974">
        <f t="shared" ref="R128:R129" si="20">P128+$P$181</f>
        <v>72.8</v>
      </c>
      <c r="S128" s="1975"/>
      <c r="T128" s="671">
        <f>T118</f>
        <v>1</v>
      </c>
      <c r="U128" s="672">
        <v>3</v>
      </c>
      <c r="V128" s="671">
        <f>V118</f>
        <v>0</v>
      </c>
      <c r="W128" s="674">
        <v>2</v>
      </c>
      <c r="X128" s="671">
        <f>X118</f>
        <v>0</v>
      </c>
      <c r="Y128" s="674">
        <v>1.5</v>
      </c>
      <c r="Z128" s="671">
        <f>Z118</f>
        <v>0</v>
      </c>
      <c r="AA128" s="1152">
        <v>1</v>
      </c>
      <c r="AB128" s="1961">
        <f t="shared" si="16"/>
        <v>2.16</v>
      </c>
      <c r="AC128" s="1962"/>
      <c r="AD128" s="684">
        <f>AD118</f>
        <v>1</v>
      </c>
      <c r="AE128" s="685">
        <v>4</v>
      </c>
      <c r="AF128" s="684">
        <v>1</v>
      </c>
      <c r="AG128" s="1288">
        <v>0.5</v>
      </c>
      <c r="AH128" s="684">
        <v>1</v>
      </c>
      <c r="AI128" s="687">
        <v>3</v>
      </c>
      <c r="AJ128" s="1947">
        <f t="shared" si="19"/>
        <v>317.40000000000003</v>
      </c>
      <c r="AK128" s="1948"/>
      <c r="AL128" s="1951">
        <f t="shared" si="12"/>
        <v>319.56000000000006</v>
      </c>
      <c r="AM128" s="2015"/>
      <c r="AN128" s="1951">
        <f t="shared" si="13"/>
        <v>392.36000000000007</v>
      </c>
      <c r="AO128" s="1952"/>
    </row>
    <row r="129" spans="1:41">
      <c r="A129" s="1485"/>
      <c r="B129" s="1800"/>
      <c r="C129" s="1276" t="s">
        <v>804</v>
      </c>
      <c r="D129" s="1983">
        <f t="shared" ref="D129:D135" si="21">M20</f>
        <v>7</v>
      </c>
      <c r="E129" s="1985"/>
      <c r="F129" s="1983">
        <f t="shared" si="8"/>
        <v>710.2589696536744</v>
      </c>
      <c r="G129" s="1985"/>
      <c r="H129" s="1983">
        <f t="shared" si="9"/>
        <v>610.82271390215999</v>
      </c>
      <c r="I129" s="1984"/>
      <c r="J129" s="1941">
        <f t="shared" si="10"/>
        <v>61.082271390216</v>
      </c>
      <c r="K129" s="1942"/>
      <c r="L129" s="1977">
        <f t="shared" ref="L129:L137" si="22">L119</f>
        <v>24</v>
      </c>
      <c r="M129" s="1978"/>
      <c r="N129" s="1163">
        <f t="shared" ref="N129:O137" si="23">N119</f>
        <v>0.33</v>
      </c>
      <c r="O129" s="1174">
        <f t="shared" si="23"/>
        <v>6.5</v>
      </c>
      <c r="P129" s="1968">
        <f t="shared" ref="P129:P177" si="24">L129*O129</f>
        <v>156</v>
      </c>
      <c r="Q129" s="1976"/>
      <c r="R129" s="1968">
        <f t="shared" si="20"/>
        <v>186</v>
      </c>
      <c r="S129" s="1969"/>
      <c r="T129" s="676">
        <f t="shared" ref="T129:T177" si="25">T119</f>
        <v>1</v>
      </c>
      <c r="U129" s="677">
        <v>3</v>
      </c>
      <c r="V129" s="676">
        <f t="shared" ref="V129:V137" si="26">V119</f>
        <v>0</v>
      </c>
      <c r="W129" s="679">
        <v>2</v>
      </c>
      <c r="X129" s="676">
        <f t="shared" ref="X129:X137" si="27">X119</f>
        <v>0</v>
      </c>
      <c r="Y129" s="679">
        <v>1.5</v>
      </c>
      <c r="Z129" s="676">
        <f t="shared" ref="Z129:Z137" si="28">Z119</f>
        <v>0</v>
      </c>
      <c r="AA129" s="1151">
        <v>1</v>
      </c>
      <c r="AB129" s="1955">
        <f t="shared" si="16"/>
        <v>16.335000000000001</v>
      </c>
      <c r="AC129" s="1956"/>
      <c r="AD129" s="688">
        <f t="shared" ref="AD129:AD177" si="29">AD119</f>
        <v>1</v>
      </c>
      <c r="AE129" s="689">
        <v>4</v>
      </c>
      <c r="AF129" s="688">
        <v>1</v>
      </c>
      <c r="AG129" s="696">
        <v>0.5</v>
      </c>
      <c r="AH129" s="688">
        <v>1</v>
      </c>
      <c r="AI129" s="691">
        <v>3</v>
      </c>
      <c r="AJ129" s="1945">
        <f t="shared" si="19"/>
        <v>317.40000000000003</v>
      </c>
      <c r="AK129" s="1949"/>
      <c r="AL129" s="1941">
        <f t="shared" si="12"/>
        <v>333.73500000000001</v>
      </c>
      <c r="AM129" s="1950"/>
      <c r="AN129" s="1941">
        <f t="shared" si="13"/>
        <v>519.73500000000001</v>
      </c>
      <c r="AO129" s="1942"/>
    </row>
    <row r="130" spans="1:41">
      <c r="A130" s="1485"/>
      <c r="B130" s="1800"/>
      <c r="C130" s="1276" t="s">
        <v>22</v>
      </c>
      <c r="D130" s="1983">
        <f t="shared" si="21"/>
        <v>0</v>
      </c>
      <c r="E130" s="1985"/>
      <c r="F130" s="1983">
        <f t="shared" si="8"/>
        <v>20.910687433771471</v>
      </c>
      <c r="G130" s="1985"/>
      <c r="H130" s="1983">
        <f t="shared" si="9"/>
        <v>17.983191193043464</v>
      </c>
      <c r="I130" s="1984"/>
      <c r="J130" s="1941">
        <f t="shared" si="10"/>
        <v>1.7983191193043464</v>
      </c>
      <c r="K130" s="1942"/>
      <c r="L130" s="1977">
        <f t="shared" si="22"/>
        <v>2</v>
      </c>
      <c r="M130" s="1978"/>
      <c r="N130" s="1163">
        <f t="shared" si="23"/>
        <v>0.08</v>
      </c>
      <c r="O130" s="1174">
        <f t="shared" si="23"/>
        <v>5.7</v>
      </c>
      <c r="P130" s="1968">
        <f t="shared" si="24"/>
        <v>11.4</v>
      </c>
      <c r="Q130" s="1976"/>
      <c r="R130" s="1968">
        <f t="shared" ref="R130:R137" si="30">P130+$P$181</f>
        <v>41.4</v>
      </c>
      <c r="S130" s="1969"/>
      <c r="T130" s="676">
        <f t="shared" si="25"/>
        <v>0</v>
      </c>
      <c r="U130" s="677">
        <v>3</v>
      </c>
      <c r="V130" s="676">
        <f t="shared" si="26"/>
        <v>0</v>
      </c>
      <c r="W130" s="679">
        <v>2</v>
      </c>
      <c r="X130" s="676">
        <f t="shared" si="27"/>
        <v>0</v>
      </c>
      <c r="Y130" s="679">
        <v>1.5</v>
      </c>
      <c r="Z130" s="676">
        <f t="shared" si="28"/>
        <v>0</v>
      </c>
      <c r="AA130" s="1151">
        <v>1</v>
      </c>
      <c r="AB130" s="1955">
        <f t="shared" si="16"/>
        <v>0</v>
      </c>
      <c r="AC130" s="1956"/>
      <c r="AD130" s="688">
        <f t="shared" si="29"/>
        <v>0</v>
      </c>
      <c r="AE130" s="689">
        <v>4</v>
      </c>
      <c r="AF130" s="688">
        <v>0</v>
      </c>
      <c r="AG130" s="696">
        <v>0.5</v>
      </c>
      <c r="AH130" s="688">
        <v>0</v>
      </c>
      <c r="AI130" s="691">
        <v>3</v>
      </c>
      <c r="AJ130" s="1945">
        <f t="shared" si="19"/>
        <v>0</v>
      </c>
      <c r="AK130" s="1949"/>
      <c r="AL130" s="1941">
        <f t="shared" si="12"/>
        <v>0</v>
      </c>
      <c r="AM130" s="1950"/>
      <c r="AN130" s="1941">
        <f t="shared" si="13"/>
        <v>41.4</v>
      </c>
      <c r="AO130" s="1942"/>
    </row>
    <row r="131" spans="1:41">
      <c r="A131" s="1485"/>
      <c r="B131" s="1800"/>
      <c r="C131" s="1276" t="s">
        <v>803</v>
      </c>
      <c r="D131" s="1983">
        <f t="shared" si="21"/>
        <v>1</v>
      </c>
      <c r="E131" s="1985"/>
      <c r="F131" s="1983">
        <f t="shared" si="8"/>
        <v>37.854887091425589</v>
      </c>
      <c r="G131" s="1985"/>
      <c r="H131" s="1983">
        <f t="shared" si="9"/>
        <v>32.555202898626007</v>
      </c>
      <c r="I131" s="1984"/>
      <c r="J131" s="1941">
        <f t="shared" si="10"/>
        <v>3.2555202898626008</v>
      </c>
      <c r="K131" s="1942"/>
      <c r="L131" s="1977">
        <f t="shared" si="22"/>
        <v>2</v>
      </c>
      <c r="M131" s="1978"/>
      <c r="N131" s="1163">
        <f t="shared" si="23"/>
        <v>0.08</v>
      </c>
      <c r="O131" s="1174">
        <f t="shared" si="23"/>
        <v>5.2</v>
      </c>
      <c r="P131" s="1968">
        <f t="shared" si="24"/>
        <v>10.4</v>
      </c>
      <c r="Q131" s="1976"/>
      <c r="R131" s="1968">
        <f t="shared" si="30"/>
        <v>40.4</v>
      </c>
      <c r="S131" s="1969"/>
      <c r="T131" s="676">
        <f t="shared" si="25"/>
        <v>1</v>
      </c>
      <c r="U131" s="677">
        <v>3</v>
      </c>
      <c r="V131" s="676">
        <f t="shared" si="26"/>
        <v>0</v>
      </c>
      <c r="W131" s="679">
        <v>2</v>
      </c>
      <c r="X131" s="676">
        <f t="shared" si="27"/>
        <v>1</v>
      </c>
      <c r="Y131" s="679">
        <v>1.5</v>
      </c>
      <c r="Z131" s="676">
        <f t="shared" si="28"/>
        <v>0</v>
      </c>
      <c r="AA131" s="1151">
        <v>1</v>
      </c>
      <c r="AB131" s="1955">
        <f t="shared" si="16"/>
        <v>1.44</v>
      </c>
      <c r="AC131" s="1956"/>
      <c r="AD131" s="688">
        <f t="shared" si="29"/>
        <v>1</v>
      </c>
      <c r="AE131" s="689">
        <v>4</v>
      </c>
      <c r="AF131" s="688">
        <v>1</v>
      </c>
      <c r="AG131" s="696">
        <v>0.5</v>
      </c>
      <c r="AH131" s="688">
        <v>1</v>
      </c>
      <c r="AI131" s="691">
        <v>3</v>
      </c>
      <c r="AJ131" s="1945">
        <f t="shared" si="19"/>
        <v>317.40000000000003</v>
      </c>
      <c r="AK131" s="1949"/>
      <c r="AL131" s="1941">
        <f t="shared" si="12"/>
        <v>318.84000000000003</v>
      </c>
      <c r="AM131" s="1950"/>
      <c r="AN131" s="1941">
        <f t="shared" si="13"/>
        <v>359.24</v>
      </c>
      <c r="AO131" s="1942"/>
    </row>
    <row r="132" spans="1:41" ht="15" customHeight="1">
      <c r="A132" s="1485"/>
      <c r="B132" s="1800"/>
      <c r="C132" s="1276" t="s">
        <v>802</v>
      </c>
      <c r="D132" s="1983">
        <f t="shared" si="21"/>
        <v>1</v>
      </c>
      <c r="E132" s="1985"/>
      <c r="F132" s="1983">
        <f t="shared" si="8"/>
        <v>110.27077250326454</v>
      </c>
      <c r="G132" s="1985"/>
      <c r="H132" s="1983">
        <f t="shared" si="9"/>
        <v>94.832864352807505</v>
      </c>
      <c r="I132" s="1984"/>
      <c r="J132" s="1941">
        <f t="shared" si="10"/>
        <v>9.4832864352807498</v>
      </c>
      <c r="K132" s="1942"/>
      <c r="L132" s="1977">
        <f t="shared" si="22"/>
        <v>2</v>
      </c>
      <c r="M132" s="1978"/>
      <c r="N132" s="1163">
        <f t="shared" si="23"/>
        <v>0.08</v>
      </c>
      <c r="O132" s="1174">
        <f t="shared" si="23"/>
        <v>6.24</v>
      </c>
      <c r="P132" s="1968">
        <f t="shared" si="24"/>
        <v>12.48</v>
      </c>
      <c r="Q132" s="1976"/>
      <c r="R132" s="1968">
        <f t="shared" si="30"/>
        <v>42.480000000000004</v>
      </c>
      <c r="S132" s="1969"/>
      <c r="T132" s="676">
        <f t="shared" si="25"/>
        <v>1</v>
      </c>
      <c r="U132" s="677">
        <v>3</v>
      </c>
      <c r="V132" s="676">
        <f t="shared" si="26"/>
        <v>0</v>
      </c>
      <c r="W132" s="679">
        <v>2</v>
      </c>
      <c r="X132" s="676">
        <f t="shared" si="27"/>
        <v>0</v>
      </c>
      <c r="Y132" s="679">
        <v>1.5</v>
      </c>
      <c r="Z132" s="676">
        <f t="shared" si="28"/>
        <v>0</v>
      </c>
      <c r="AA132" s="1151">
        <v>1</v>
      </c>
      <c r="AB132" s="1955">
        <f t="shared" si="16"/>
        <v>0.96000000000000019</v>
      </c>
      <c r="AC132" s="1956"/>
      <c r="AD132" s="688">
        <f t="shared" si="29"/>
        <v>1</v>
      </c>
      <c r="AE132" s="689">
        <v>4</v>
      </c>
      <c r="AF132" s="688">
        <v>1</v>
      </c>
      <c r="AG132" s="696">
        <v>0.5</v>
      </c>
      <c r="AH132" s="688">
        <v>1</v>
      </c>
      <c r="AI132" s="691">
        <v>3</v>
      </c>
      <c r="AJ132" s="1945">
        <f t="shared" si="19"/>
        <v>317.40000000000003</v>
      </c>
      <c r="AK132" s="1949"/>
      <c r="AL132" s="1941">
        <f t="shared" si="12"/>
        <v>318.36</v>
      </c>
      <c r="AM132" s="1950"/>
      <c r="AN132" s="1941">
        <f t="shared" si="13"/>
        <v>360.84000000000003</v>
      </c>
      <c r="AO132" s="1942"/>
    </row>
    <row r="133" spans="1:41">
      <c r="A133" s="1485"/>
      <c r="B133" s="1800"/>
      <c r="C133" s="1276" t="s">
        <v>587</v>
      </c>
      <c r="D133" s="1983">
        <f t="shared" si="21"/>
        <v>1</v>
      </c>
      <c r="E133" s="1985"/>
      <c r="F133" s="1983">
        <f t="shared" si="8"/>
        <v>112.45077286231182</v>
      </c>
      <c r="G133" s="1985"/>
      <c r="H133" s="1983">
        <f t="shared" si="9"/>
        <v>96.707664661588169</v>
      </c>
      <c r="I133" s="1984"/>
      <c r="J133" s="1941">
        <f t="shared" si="10"/>
        <v>9.6707664661588169</v>
      </c>
      <c r="K133" s="1942"/>
      <c r="L133" s="1977">
        <f t="shared" si="22"/>
        <v>2</v>
      </c>
      <c r="M133" s="1978"/>
      <c r="N133" s="1163">
        <f t="shared" si="23"/>
        <v>0.08</v>
      </c>
      <c r="O133" s="1174">
        <f t="shared" si="23"/>
        <v>8</v>
      </c>
      <c r="P133" s="1968">
        <f t="shared" si="24"/>
        <v>16</v>
      </c>
      <c r="Q133" s="1976"/>
      <c r="R133" s="1968">
        <f t="shared" si="30"/>
        <v>46</v>
      </c>
      <c r="S133" s="1969"/>
      <c r="T133" s="676">
        <f t="shared" si="25"/>
        <v>1</v>
      </c>
      <c r="U133" s="677">
        <v>3</v>
      </c>
      <c r="V133" s="676">
        <f t="shared" si="26"/>
        <v>0</v>
      </c>
      <c r="W133" s="679">
        <v>2</v>
      </c>
      <c r="X133" s="676">
        <f t="shared" si="27"/>
        <v>0</v>
      </c>
      <c r="Y133" s="679">
        <v>1.5</v>
      </c>
      <c r="Z133" s="676">
        <f t="shared" si="28"/>
        <v>0</v>
      </c>
      <c r="AA133" s="1151">
        <v>1</v>
      </c>
      <c r="AB133" s="1955">
        <f t="shared" si="16"/>
        <v>0.96000000000000019</v>
      </c>
      <c r="AC133" s="1956"/>
      <c r="AD133" s="688">
        <f t="shared" si="29"/>
        <v>1</v>
      </c>
      <c r="AE133" s="689">
        <v>4</v>
      </c>
      <c r="AF133" s="688">
        <v>1</v>
      </c>
      <c r="AG133" s="696">
        <v>0.5</v>
      </c>
      <c r="AH133" s="688">
        <v>1</v>
      </c>
      <c r="AI133" s="691">
        <v>3</v>
      </c>
      <c r="AJ133" s="1945">
        <f t="shared" si="19"/>
        <v>317.40000000000003</v>
      </c>
      <c r="AK133" s="1949"/>
      <c r="AL133" s="1941">
        <f t="shared" si="12"/>
        <v>318.36</v>
      </c>
      <c r="AM133" s="1950"/>
      <c r="AN133" s="1941">
        <f t="shared" si="13"/>
        <v>364.36</v>
      </c>
      <c r="AO133" s="1942"/>
    </row>
    <row r="134" spans="1:41" ht="15" customHeight="1">
      <c r="A134" s="1485"/>
      <c r="B134" s="1800"/>
      <c r="C134" s="1276" t="s">
        <v>20</v>
      </c>
      <c r="D134" s="1983">
        <f t="shared" si="21"/>
        <v>2</v>
      </c>
      <c r="E134" s="1985"/>
      <c r="F134" s="1983">
        <f t="shared" si="8"/>
        <v>195.08296497619577</v>
      </c>
      <c r="G134" s="1985"/>
      <c r="H134" s="1983">
        <f>F134*0.86</f>
        <v>167.77134987952834</v>
      </c>
      <c r="I134" s="1984"/>
      <c r="J134" s="1941">
        <f>H134/(1*10)</f>
        <v>16.777134987952834</v>
      </c>
      <c r="K134" s="1942"/>
      <c r="L134" s="1977">
        <f t="shared" si="22"/>
        <v>4</v>
      </c>
      <c r="M134" s="1978"/>
      <c r="N134" s="1163">
        <f t="shared" si="23"/>
        <v>0.12</v>
      </c>
      <c r="O134" s="1174">
        <f t="shared" si="23"/>
        <v>5</v>
      </c>
      <c r="P134" s="1968">
        <f>L134*O134</f>
        <v>20</v>
      </c>
      <c r="Q134" s="1976"/>
      <c r="R134" s="1968">
        <f t="shared" si="30"/>
        <v>50</v>
      </c>
      <c r="S134" s="1969"/>
      <c r="T134" s="676">
        <f t="shared" si="25"/>
        <v>1</v>
      </c>
      <c r="U134" s="677">
        <v>3</v>
      </c>
      <c r="V134" s="676">
        <f t="shared" si="26"/>
        <v>0</v>
      </c>
      <c r="W134" s="679">
        <v>2</v>
      </c>
      <c r="X134" s="676">
        <f t="shared" si="27"/>
        <v>0</v>
      </c>
      <c r="Y134" s="679">
        <v>1.5</v>
      </c>
      <c r="Z134" s="676">
        <f t="shared" si="28"/>
        <v>0</v>
      </c>
      <c r="AA134" s="1151">
        <v>1</v>
      </c>
      <c r="AB134" s="1955">
        <f t="shared" si="16"/>
        <v>2.16</v>
      </c>
      <c r="AC134" s="1956"/>
      <c r="AD134" s="688">
        <f t="shared" si="29"/>
        <v>1</v>
      </c>
      <c r="AE134" s="689">
        <v>4</v>
      </c>
      <c r="AF134" s="688">
        <v>1</v>
      </c>
      <c r="AG134" s="696">
        <v>0.5</v>
      </c>
      <c r="AH134" s="688">
        <v>1</v>
      </c>
      <c r="AI134" s="691">
        <v>3</v>
      </c>
      <c r="AJ134" s="1945">
        <f>(1/2*1000*$N$183^2*SUM(AD134*AE134,AF134*AG134,AH134*AI134)/10)</f>
        <v>513.33749999999986</v>
      </c>
      <c r="AK134" s="1949"/>
      <c r="AL134" s="1941">
        <f t="shared" si="12"/>
        <v>515.49749999999983</v>
      </c>
      <c r="AM134" s="1950"/>
      <c r="AN134" s="1941">
        <f t="shared" si="13"/>
        <v>565.49749999999983</v>
      </c>
      <c r="AO134" s="1942"/>
    </row>
    <row r="135" spans="1:41">
      <c r="A135" s="1485"/>
      <c r="B135" s="1800"/>
      <c r="C135" s="1276" t="s">
        <v>586</v>
      </c>
      <c r="D135" s="1983">
        <f t="shared" si="21"/>
        <v>1</v>
      </c>
      <c r="E135" s="1985"/>
      <c r="F135" s="1983">
        <f t="shared" ref="F135:F137" si="31">L26</f>
        <v>94.041121754661489</v>
      </c>
      <c r="G135" s="1985"/>
      <c r="H135" s="1983">
        <f t="shared" ref="H135:H138" si="32">F135*0.86</f>
        <v>80.875364709008878</v>
      </c>
      <c r="I135" s="1984"/>
      <c r="J135" s="1941">
        <f t="shared" ref="J135:J137" si="33">H135/(1*10)</f>
        <v>8.0875364709008881</v>
      </c>
      <c r="K135" s="1942"/>
      <c r="L135" s="1977">
        <f t="shared" si="22"/>
        <v>2</v>
      </c>
      <c r="M135" s="1978"/>
      <c r="N135" s="1163">
        <f t="shared" si="23"/>
        <v>0.08</v>
      </c>
      <c r="O135" s="1174">
        <f t="shared" si="23"/>
        <v>5.5</v>
      </c>
      <c r="P135" s="1968">
        <f t="shared" ref="P135:P137" si="34">L135*O135</f>
        <v>11</v>
      </c>
      <c r="Q135" s="1976"/>
      <c r="R135" s="1968">
        <f t="shared" si="30"/>
        <v>41</v>
      </c>
      <c r="S135" s="1969"/>
      <c r="T135" s="676">
        <f t="shared" si="25"/>
        <v>1</v>
      </c>
      <c r="U135" s="677">
        <v>3</v>
      </c>
      <c r="V135" s="676">
        <f t="shared" si="26"/>
        <v>0</v>
      </c>
      <c r="W135" s="679">
        <v>2</v>
      </c>
      <c r="X135" s="676">
        <f t="shared" si="27"/>
        <v>0</v>
      </c>
      <c r="Y135" s="679">
        <v>1.5</v>
      </c>
      <c r="Z135" s="676">
        <f t="shared" si="28"/>
        <v>0</v>
      </c>
      <c r="AA135" s="1151">
        <v>1</v>
      </c>
      <c r="AB135" s="1955">
        <f>(1/2*1000*N135^2*SUM(T135*U135,V135*W135,X135*Y135,Z135*AA135)/10)</f>
        <v>0.96000000000000019</v>
      </c>
      <c r="AC135" s="1956"/>
      <c r="AD135" s="688">
        <f t="shared" si="29"/>
        <v>1</v>
      </c>
      <c r="AE135" s="689">
        <v>4</v>
      </c>
      <c r="AF135" s="688">
        <v>1</v>
      </c>
      <c r="AG135" s="696">
        <v>0.5</v>
      </c>
      <c r="AH135" s="688">
        <v>1</v>
      </c>
      <c r="AI135" s="691">
        <v>3</v>
      </c>
      <c r="AJ135" s="1945">
        <f t="shared" ref="AJ135:AJ170" si="35">(1/2*1000*$N$183^2*SUM(AD135*AE135,AF135*AG135,AH135*AI135)/10)</f>
        <v>513.33749999999986</v>
      </c>
      <c r="AK135" s="1949"/>
      <c r="AL135" s="1941">
        <f t="shared" ref="AL135:AL170" si="36">SUM(AB135,AJ135)</f>
        <v>514.2974999999999</v>
      </c>
      <c r="AM135" s="1950"/>
      <c r="AN135" s="1941">
        <f t="shared" ref="AN135:AN170" si="37">SUM(R135,AL135)</f>
        <v>555.2974999999999</v>
      </c>
      <c r="AO135" s="1942"/>
    </row>
    <row r="136" spans="1:41">
      <c r="A136" s="1485"/>
      <c r="B136" s="1800"/>
      <c r="C136" s="1276" t="s">
        <v>19</v>
      </c>
      <c r="D136" s="1983">
        <f t="shared" ref="D136:D137" si="38">M27</f>
        <v>2</v>
      </c>
      <c r="E136" s="1985"/>
      <c r="F136" s="1983">
        <f t="shared" si="31"/>
        <v>146.22149350645282</v>
      </c>
      <c r="G136" s="1985"/>
      <c r="H136" s="1983">
        <f t="shared" si="32"/>
        <v>125.75048441554942</v>
      </c>
      <c r="I136" s="1984"/>
      <c r="J136" s="1941">
        <f t="shared" si="33"/>
        <v>12.575048441554943</v>
      </c>
      <c r="K136" s="1942"/>
      <c r="L136" s="1977">
        <v>2</v>
      </c>
      <c r="M136" s="1978"/>
      <c r="N136" s="1163">
        <v>0.8</v>
      </c>
      <c r="O136" s="1174">
        <f t="shared" si="23"/>
        <v>0</v>
      </c>
      <c r="P136" s="1968">
        <f t="shared" si="34"/>
        <v>0</v>
      </c>
      <c r="Q136" s="1976"/>
      <c r="R136" s="1968">
        <f t="shared" si="30"/>
        <v>30</v>
      </c>
      <c r="S136" s="1969"/>
      <c r="T136" s="676">
        <f t="shared" si="25"/>
        <v>1</v>
      </c>
      <c r="U136" s="677">
        <v>3</v>
      </c>
      <c r="V136" s="676">
        <f t="shared" si="26"/>
        <v>0</v>
      </c>
      <c r="W136" s="677">
        <v>0</v>
      </c>
      <c r="X136" s="676">
        <f t="shared" si="27"/>
        <v>0</v>
      </c>
      <c r="Y136" s="683">
        <v>0</v>
      </c>
      <c r="Z136" s="676">
        <f t="shared" si="28"/>
        <v>1</v>
      </c>
      <c r="AA136" s="1100">
        <v>0</v>
      </c>
      <c r="AB136" s="1955">
        <f t="shared" ref="AB136:AB137" si="39">(1/2*1000*N136^2*SUM(T136*U136,V136*W136,X136*Y136,Z136*AA136)/10)</f>
        <v>96.000000000000028</v>
      </c>
      <c r="AC136" s="1956"/>
      <c r="AD136" s="688">
        <f t="shared" si="29"/>
        <v>1</v>
      </c>
      <c r="AE136" s="695">
        <v>4</v>
      </c>
      <c r="AF136" s="694">
        <v>1</v>
      </c>
      <c r="AG136" s="696">
        <v>0.5</v>
      </c>
      <c r="AH136" s="694">
        <v>1</v>
      </c>
      <c r="AI136" s="691">
        <v>3</v>
      </c>
      <c r="AJ136" s="1945">
        <f t="shared" si="35"/>
        <v>513.33749999999986</v>
      </c>
      <c r="AK136" s="1949"/>
      <c r="AL136" s="1941">
        <f t="shared" si="36"/>
        <v>609.33749999999986</v>
      </c>
      <c r="AM136" s="1950"/>
      <c r="AN136" s="1941">
        <f t="shared" si="37"/>
        <v>639.33749999999986</v>
      </c>
      <c r="AO136" s="1942"/>
    </row>
    <row r="137" spans="1:41">
      <c r="A137" s="1486"/>
      <c r="B137" s="1801"/>
      <c r="C137" s="1276" t="s">
        <v>588</v>
      </c>
      <c r="D137" s="1986">
        <f t="shared" si="38"/>
        <v>0</v>
      </c>
      <c r="E137" s="1987"/>
      <c r="F137" s="1986">
        <f t="shared" si="31"/>
        <v>40.853632563201316</v>
      </c>
      <c r="G137" s="1987"/>
      <c r="H137" s="1983">
        <f t="shared" si="32"/>
        <v>35.134124004353133</v>
      </c>
      <c r="I137" s="1984"/>
      <c r="J137" s="1943">
        <f t="shared" si="33"/>
        <v>3.5134124004353131</v>
      </c>
      <c r="K137" s="1944"/>
      <c r="L137" s="1979">
        <f t="shared" si="22"/>
        <v>2</v>
      </c>
      <c r="M137" s="1980"/>
      <c r="N137" s="1164">
        <f t="shared" si="23"/>
        <v>0.08</v>
      </c>
      <c r="O137" s="1175">
        <f t="shared" si="23"/>
        <v>3</v>
      </c>
      <c r="P137" s="1968">
        <f t="shared" si="34"/>
        <v>6</v>
      </c>
      <c r="Q137" s="1976"/>
      <c r="R137" s="1970">
        <f t="shared" si="30"/>
        <v>36</v>
      </c>
      <c r="S137" s="1971"/>
      <c r="T137" s="681">
        <f t="shared" si="25"/>
        <v>1</v>
      </c>
      <c r="U137" s="1176">
        <v>3</v>
      </c>
      <c r="V137" s="681">
        <f t="shared" si="26"/>
        <v>0</v>
      </c>
      <c r="W137" s="682">
        <v>0</v>
      </c>
      <c r="X137" s="681">
        <f t="shared" si="27"/>
        <v>0</v>
      </c>
      <c r="Y137" s="1177">
        <v>0</v>
      </c>
      <c r="Z137" s="681">
        <f t="shared" si="28"/>
        <v>0</v>
      </c>
      <c r="AA137" s="1153">
        <v>0</v>
      </c>
      <c r="AB137" s="1957">
        <f t="shared" si="39"/>
        <v>0.96000000000000019</v>
      </c>
      <c r="AC137" s="1958"/>
      <c r="AD137" s="692">
        <f t="shared" si="29"/>
        <v>1</v>
      </c>
      <c r="AE137" s="695">
        <v>4</v>
      </c>
      <c r="AF137" s="694">
        <v>1</v>
      </c>
      <c r="AG137" s="1289">
        <v>0.5</v>
      </c>
      <c r="AH137" s="694">
        <v>1</v>
      </c>
      <c r="AI137" s="691">
        <v>3</v>
      </c>
      <c r="AJ137" s="1959">
        <f t="shared" si="35"/>
        <v>513.33749999999986</v>
      </c>
      <c r="AK137" s="1960"/>
      <c r="AL137" s="1941">
        <f t="shared" si="36"/>
        <v>514.2974999999999</v>
      </c>
      <c r="AM137" s="1950"/>
      <c r="AN137" s="1943">
        <f t="shared" si="37"/>
        <v>550.2974999999999</v>
      </c>
      <c r="AO137" s="1944"/>
    </row>
    <row r="138" spans="1:41">
      <c r="A138" s="1369" t="s">
        <v>835</v>
      </c>
      <c r="B138" s="1796" t="s">
        <v>809</v>
      </c>
      <c r="C138" s="1275" t="s">
        <v>9</v>
      </c>
      <c r="D138" s="1988">
        <f t="shared" ref="D138:D171" si="40">M29</f>
        <v>2</v>
      </c>
      <c r="E138" s="1989"/>
      <c r="F138" s="1988">
        <f t="shared" ref="F138:F171" si="41">L29</f>
        <v>145.74798141389527</v>
      </c>
      <c r="G138" s="1989"/>
      <c r="H138" s="1988">
        <f t="shared" si="32"/>
        <v>125.34326401594994</v>
      </c>
      <c r="I138" s="1989"/>
      <c r="J138" s="1941">
        <f t="shared" ref="J138:J170" si="42">H138/(1*10)</f>
        <v>12.534326401594994</v>
      </c>
      <c r="K138" s="1950"/>
      <c r="L138" s="1981">
        <v>2</v>
      </c>
      <c r="M138" s="1982"/>
      <c r="N138" s="650">
        <v>0.08</v>
      </c>
      <c r="O138" s="655">
        <f>O118</f>
        <v>10.7</v>
      </c>
      <c r="P138" s="1974">
        <f>L138*O138</f>
        <v>21.4</v>
      </c>
      <c r="Q138" s="1975"/>
      <c r="R138" s="1974">
        <f>P138+$P$182+$P$181</f>
        <v>73.900000000000006</v>
      </c>
      <c r="S138" s="1975"/>
      <c r="T138" s="671">
        <f t="shared" si="25"/>
        <v>1</v>
      </c>
      <c r="U138" s="676">
        <f t="shared" ref="U138:AA157" si="43">U118</f>
        <v>3</v>
      </c>
      <c r="V138" s="676">
        <f t="shared" si="43"/>
        <v>0</v>
      </c>
      <c r="W138" s="676">
        <f t="shared" si="43"/>
        <v>2</v>
      </c>
      <c r="X138" s="676">
        <f t="shared" si="43"/>
        <v>0</v>
      </c>
      <c r="Y138" s="676">
        <f t="shared" si="43"/>
        <v>1.5</v>
      </c>
      <c r="Z138" s="676">
        <f t="shared" si="43"/>
        <v>0</v>
      </c>
      <c r="AA138" s="676">
        <f t="shared" si="43"/>
        <v>1</v>
      </c>
      <c r="AB138" s="1961">
        <f t="shared" ref="AB138:AB171" si="44">(1/2*1000*N138^2*SUM(T138*U138,V138*W138,X138*Y138,Z138*AA138)/10)</f>
        <v>0.96000000000000019</v>
      </c>
      <c r="AC138" s="1962"/>
      <c r="AD138" s="684">
        <f t="shared" si="29"/>
        <v>1</v>
      </c>
      <c r="AE138" s="685">
        <v>4</v>
      </c>
      <c r="AF138" s="684">
        <v>1</v>
      </c>
      <c r="AG138" s="684">
        <f t="shared" ref="AG138:AI138" si="45">AG118</f>
        <v>0.5</v>
      </c>
      <c r="AH138" s="684">
        <v>1</v>
      </c>
      <c r="AI138" s="684">
        <f t="shared" si="45"/>
        <v>3</v>
      </c>
      <c r="AJ138" s="1945">
        <f t="shared" si="35"/>
        <v>513.33749999999986</v>
      </c>
      <c r="AK138" s="1946"/>
      <c r="AL138" s="1951">
        <f t="shared" si="36"/>
        <v>514.2974999999999</v>
      </c>
      <c r="AM138" s="1952"/>
      <c r="AN138" s="1941">
        <f t="shared" si="37"/>
        <v>588.19749999999988</v>
      </c>
      <c r="AO138" s="1942"/>
    </row>
    <row r="139" spans="1:41">
      <c r="A139" s="1370"/>
      <c r="B139" s="1797"/>
      <c r="C139" s="1276" t="s">
        <v>804</v>
      </c>
      <c r="D139" s="1983">
        <f t="shared" si="40"/>
        <v>5</v>
      </c>
      <c r="E139" s="1985"/>
      <c r="F139" s="1983">
        <f t="shared" si="41"/>
        <v>541.1736218552453</v>
      </c>
      <c r="G139" s="1985"/>
      <c r="H139" s="1983">
        <f t="shared" ref="H139:H170" si="46">F139*0.86</f>
        <v>465.40931479551097</v>
      </c>
      <c r="I139" s="1985"/>
      <c r="J139" s="1941">
        <f t="shared" si="42"/>
        <v>46.540931479551098</v>
      </c>
      <c r="K139" s="1950"/>
      <c r="L139" s="1977">
        <v>16</v>
      </c>
      <c r="M139" s="1978"/>
      <c r="N139" s="1163">
        <v>0.27</v>
      </c>
      <c r="O139" s="660">
        <f t="shared" ref="N139:O157" si="47">O119</f>
        <v>6.5</v>
      </c>
      <c r="P139" s="1968">
        <f t="shared" ref="P139:P170" si="48">L139*O139</f>
        <v>104</v>
      </c>
      <c r="Q139" s="1969"/>
      <c r="R139" s="1968">
        <f t="shared" ref="R139:R157" si="49">P139+$P$182+$P$181</f>
        <v>156.5</v>
      </c>
      <c r="S139" s="1969"/>
      <c r="T139" s="676">
        <f t="shared" si="25"/>
        <v>1</v>
      </c>
      <c r="U139" s="676">
        <f t="shared" si="43"/>
        <v>3</v>
      </c>
      <c r="V139" s="676">
        <f t="shared" si="43"/>
        <v>0</v>
      </c>
      <c r="W139" s="676">
        <f t="shared" si="43"/>
        <v>2</v>
      </c>
      <c r="X139" s="676">
        <f t="shared" si="43"/>
        <v>0</v>
      </c>
      <c r="Y139" s="676">
        <f t="shared" si="43"/>
        <v>1.5</v>
      </c>
      <c r="Z139" s="676">
        <f t="shared" si="43"/>
        <v>0</v>
      </c>
      <c r="AA139" s="676">
        <f t="shared" si="43"/>
        <v>1</v>
      </c>
      <c r="AB139" s="1955">
        <f t="shared" si="44"/>
        <v>10.935</v>
      </c>
      <c r="AC139" s="1956"/>
      <c r="AD139" s="688">
        <f t="shared" si="29"/>
        <v>1</v>
      </c>
      <c r="AE139" s="689">
        <v>4</v>
      </c>
      <c r="AF139" s="688">
        <v>1</v>
      </c>
      <c r="AG139" s="688">
        <f t="shared" ref="AG139:AI157" si="50">AG119</f>
        <v>0.5</v>
      </c>
      <c r="AH139" s="688">
        <v>1</v>
      </c>
      <c r="AI139" s="688">
        <f t="shared" si="50"/>
        <v>3</v>
      </c>
      <c r="AJ139" s="1945">
        <f t="shared" si="35"/>
        <v>513.33749999999986</v>
      </c>
      <c r="AK139" s="1946"/>
      <c r="AL139" s="1941">
        <f t="shared" si="36"/>
        <v>524.27249999999981</v>
      </c>
      <c r="AM139" s="1942"/>
      <c r="AN139" s="1941">
        <f t="shared" si="37"/>
        <v>680.77249999999981</v>
      </c>
      <c r="AO139" s="1942"/>
    </row>
    <row r="140" spans="1:41">
      <c r="A140" s="1370"/>
      <c r="B140" s="1797"/>
      <c r="C140" s="1276" t="s">
        <v>22</v>
      </c>
      <c r="D140" s="1983">
        <f t="shared" si="40"/>
        <v>0</v>
      </c>
      <c r="E140" s="1985"/>
      <c r="F140" s="1983">
        <f t="shared" si="41"/>
        <v>-4.9458002001202486</v>
      </c>
      <c r="G140" s="1985"/>
      <c r="H140" s="1983">
        <f t="shared" si="46"/>
        <v>-4.2533881721034135</v>
      </c>
      <c r="I140" s="1985"/>
      <c r="J140" s="1941">
        <f t="shared" si="42"/>
        <v>-0.42533881721034134</v>
      </c>
      <c r="K140" s="1950"/>
      <c r="L140" s="1977">
        <f t="shared" ref="L140:L147" si="51">L120</f>
        <v>2</v>
      </c>
      <c r="M140" s="1978"/>
      <c r="N140" s="1163">
        <f t="shared" si="47"/>
        <v>0.08</v>
      </c>
      <c r="O140" s="660">
        <f t="shared" si="47"/>
        <v>5.7</v>
      </c>
      <c r="P140" s="1968">
        <f t="shared" si="48"/>
        <v>11.4</v>
      </c>
      <c r="Q140" s="1969"/>
      <c r="R140" s="1968">
        <f t="shared" si="49"/>
        <v>63.9</v>
      </c>
      <c r="S140" s="1969"/>
      <c r="T140" s="676">
        <f t="shared" si="25"/>
        <v>0</v>
      </c>
      <c r="U140" s="676">
        <f t="shared" si="43"/>
        <v>3</v>
      </c>
      <c r="V140" s="676">
        <f t="shared" si="43"/>
        <v>0</v>
      </c>
      <c r="W140" s="676">
        <f t="shared" si="43"/>
        <v>2</v>
      </c>
      <c r="X140" s="676">
        <f t="shared" si="43"/>
        <v>0</v>
      </c>
      <c r="Y140" s="676">
        <f t="shared" si="43"/>
        <v>1.5</v>
      </c>
      <c r="Z140" s="676">
        <f t="shared" si="43"/>
        <v>0</v>
      </c>
      <c r="AA140" s="676">
        <f t="shared" si="43"/>
        <v>1</v>
      </c>
      <c r="AB140" s="1955">
        <f t="shared" si="44"/>
        <v>0</v>
      </c>
      <c r="AC140" s="1956"/>
      <c r="AD140" s="688">
        <f t="shared" si="29"/>
        <v>0</v>
      </c>
      <c r="AE140" s="689">
        <v>4</v>
      </c>
      <c r="AF140" s="688">
        <v>0</v>
      </c>
      <c r="AG140" s="688">
        <f t="shared" si="50"/>
        <v>0.5</v>
      </c>
      <c r="AH140" s="688">
        <v>0</v>
      </c>
      <c r="AI140" s="688">
        <f t="shared" si="50"/>
        <v>3</v>
      </c>
      <c r="AJ140" s="1945">
        <f t="shared" si="35"/>
        <v>0</v>
      </c>
      <c r="AK140" s="1946"/>
      <c r="AL140" s="1941">
        <f t="shared" si="36"/>
        <v>0</v>
      </c>
      <c r="AM140" s="1942"/>
      <c r="AN140" s="1941">
        <f t="shared" si="37"/>
        <v>63.9</v>
      </c>
      <c r="AO140" s="1942"/>
    </row>
    <row r="141" spans="1:41">
      <c r="A141" s="1370"/>
      <c r="B141" s="1797"/>
      <c r="C141" s="1276" t="s">
        <v>803</v>
      </c>
      <c r="D141" s="1983">
        <f t="shared" si="40"/>
        <v>1</v>
      </c>
      <c r="E141" s="1985"/>
      <c r="F141" s="1983">
        <f t="shared" si="41"/>
        <v>30.982640294806529</v>
      </c>
      <c r="G141" s="1985"/>
      <c r="H141" s="1983">
        <f t="shared" si="46"/>
        <v>26.645070653533615</v>
      </c>
      <c r="I141" s="1985"/>
      <c r="J141" s="1941">
        <f t="shared" si="42"/>
        <v>2.6645070653533613</v>
      </c>
      <c r="K141" s="1950"/>
      <c r="L141" s="1977">
        <f t="shared" si="51"/>
        <v>2</v>
      </c>
      <c r="M141" s="1978"/>
      <c r="N141" s="1163">
        <f t="shared" si="47"/>
        <v>0.08</v>
      </c>
      <c r="O141" s="660">
        <f t="shared" si="47"/>
        <v>5.2</v>
      </c>
      <c r="P141" s="1968">
        <f t="shared" si="48"/>
        <v>10.4</v>
      </c>
      <c r="Q141" s="1969"/>
      <c r="R141" s="1968">
        <f t="shared" si="49"/>
        <v>62.9</v>
      </c>
      <c r="S141" s="1969"/>
      <c r="T141" s="676">
        <f t="shared" si="25"/>
        <v>1</v>
      </c>
      <c r="U141" s="676">
        <f t="shared" si="43"/>
        <v>3</v>
      </c>
      <c r="V141" s="676">
        <f t="shared" si="43"/>
        <v>0</v>
      </c>
      <c r="W141" s="676">
        <f t="shared" si="43"/>
        <v>2</v>
      </c>
      <c r="X141" s="676">
        <f t="shared" si="43"/>
        <v>1</v>
      </c>
      <c r="Y141" s="676">
        <f t="shared" si="43"/>
        <v>1.5</v>
      </c>
      <c r="Z141" s="676">
        <f t="shared" si="43"/>
        <v>0</v>
      </c>
      <c r="AA141" s="676">
        <f t="shared" si="43"/>
        <v>1</v>
      </c>
      <c r="AB141" s="1955">
        <f t="shared" si="44"/>
        <v>1.44</v>
      </c>
      <c r="AC141" s="1956"/>
      <c r="AD141" s="688">
        <f t="shared" si="29"/>
        <v>1</v>
      </c>
      <c r="AE141" s="689">
        <v>4</v>
      </c>
      <c r="AF141" s="688">
        <v>0</v>
      </c>
      <c r="AG141" s="688">
        <f t="shared" si="50"/>
        <v>0.5</v>
      </c>
      <c r="AH141" s="688">
        <v>0</v>
      </c>
      <c r="AI141" s="688">
        <f t="shared" si="50"/>
        <v>3</v>
      </c>
      <c r="AJ141" s="1945">
        <f t="shared" si="35"/>
        <v>273.77999999999997</v>
      </c>
      <c r="AK141" s="1946"/>
      <c r="AL141" s="1941">
        <f t="shared" si="36"/>
        <v>275.21999999999997</v>
      </c>
      <c r="AM141" s="1942"/>
      <c r="AN141" s="1941">
        <f t="shared" si="37"/>
        <v>338.11999999999995</v>
      </c>
      <c r="AO141" s="1942"/>
    </row>
    <row r="142" spans="1:41">
      <c r="A142" s="1370"/>
      <c r="B142" s="1797"/>
      <c r="C142" s="1276" t="s">
        <v>802</v>
      </c>
      <c r="D142" s="1983">
        <f t="shared" si="40"/>
        <v>1</v>
      </c>
      <c r="E142" s="1985"/>
      <c r="F142" s="1983">
        <f t="shared" si="41"/>
        <v>54.039872503264547</v>
      </c>
      <c r="G142" s="1985"/>
      <c r="H142" s="1983">
        <f t="shared" si="46"/>
        <v>46.474290352807508</v>
      </c>
      <c r="I142" s="1985"/>
      <c r="J142" s="1941">
        <f t="shared" si="42"/>
        <v>4.6474290352807506</v>
      </c>
      <c r="K142" s="1950"/>
      <c r="L142" s="1977">
        <f t="shared" si="51"/>
        <v>2</v>
      </c>
      <c r="M142" s="1978"/>
      <c r="N142" s="1163">
        <f t="shared" si="47"/>
        <v>0.08</v>
      </c>
      <c r="O142" s="660">
        <f t="shared" si="47"/>
        <v>6.24</v>
      </c>
      <c r="P142" s="1968">
        <f t="shared" si="48"/>
        <v>12.48</v>
      </c>
      <c r="Q142" s="1969"/>
      <c r="R142" s="1968">
        <f t="shared" si="49"/>
        <v>64.98</v>
      </c>
      <c r="S142" s="1969"/>
      <c r="T142" s="676">
        <f t="shared" si="25"/>
        <v>1</v>
      </c>
      <c r="U142" s="676">
        <f t="shared" si="43"/>
        <v>3</v>
      </c>
      <c r="V142" s="676">
        <f t="shared" si="43"/>
        <v>0</v>
      </c>
      <c r="W142" s="676">
        <f t="shared" si="43"/>
        <v>2</v>
      </c>
      <c r="X142" s="676">
        <f t="shared" si="43"/>
        <v>0</v>
      </c>
      <c r="Y142" s="676">
        <f t="shared" si="43"/>
        <v>1.5</v>
      </c>
      <c r="Z142" s="676">
        <f t="shared" si="43"/>
        <v>0</v>
      </c>
      <c r="AA142" s="676">
        <f t="shared" si="43"/>
        <v>1</v>
      </c>
      <c r="AB142" s="1955">
        <f t="shared" si="44"/>
        <v>0.96000000000000019</v>
      </c>
      <c r="AC142" s="1956"/>
      <c r="AD142" s="688">
        <f t="shared" si="29"/>
        <v>1</v>
      </c>
      <c r="AE142" s="689">
        <v>4</v>
      </c>
      <c r="AF142" s="688">
        <v>1</v>
      </c>
      <c r="AG142" s="688">
        <f t="shared" si="50"/>
        <v>0.5</v>
      </c>
      <c r="AH142" s="688">
        <v>1</v>
      </c>
      <c r="AI142" s="688">
        <f t="shared" si="50"/>
        <v>3</v>
      </c>
      <c r="AJ142" s="1945">
        <f t="shared" si="35"/>
        <v>513.33749999999986</v>
      </c>
      <c r="AK142" s="1946"/>
      <c r="AL142" s="1941">
        <f t="shared" si="36"/>
        <v>514.2974999999999</v>
      </c>
      <c r="AM142" s="1942"/>
      <c r="AN142" s="1941">
        <f t="shared" si="37"/>
        <v>579.27749999999992</v>
      </c>
      <c r="AO142" s="1942"/>
    </row>
    <row r="143" spans="1:41">
      <c r="A143" s="1370"/>
      <c r="B143" s="1797"/>
      <c r="C143" s="1276" t="s">
        <v>587</v>
      </c>
      <c r="D143" s="1983">
        <f t="shared" si="40"/>
        <v>1</v>
      </c>
      <c r="E143" s="1985"/>
      <c r="F143" s="1983">
        <f t="shared" si="41"/>
        <v>83.713385228420123</v>
      </c>
      <c r="G143" s="1985"/>
      <c r="H143" s="1983">
        <f t="shared" si="46"/>
        <v>71.993511296441298</v>
      </c>
      <c r="I143" s="1985"/>
      <c r="J143" s="1941">
        <f t="shared" si="42"/>
        <v>7.1993511296441302</v>
      </c>
      <c r="K143" s="1950"/>
      <c r="L143" s="1977">
        <f t="shared" si="51"/>
        <v>2</v>
      </c>
      <c r="M143" s="1978"/>
      <c r="N143" s="1163">
        <f t="shared" si="47"/>
        <v>0.08</v>
      </c>
      <c r="O143" s="660">
        <f t="shared" si="47"/>
        <v>8</v>
      </c>
      <c r="P143" s="1968">
        <f t="shared" si="48"/>
        <v>16</v>
      </c>
      <c r="Q143" s="1969"/>
      <c r="R143" s="1968">
        <f t="shared" si="49"/>
        <v>68.5</v>
      </c>
      <c r="S143" s="1969"/>
      <c r="T143" s="676">
        <f t="shared" si="25"/>
        <v>1</v>
      </c>
      <c r="U143" s="676">
        <f t="shared" si="43"/>
        <v>3</v>
      </c>
      <c r="V143" s="676">
        <f t="shared" si="43"/>
        <v>0</v>
      </c>
      <c r="W143" s="676">
        <f t="shared" si="43"/>
        <v>2</v>
      </c>
      <c r="X143" s="676">
        <f t="shared" si="43"/>
        <v>0</v>
      </c>
      <c r="Y143" s="676">
        <f t="shared" si="43"/>
        <v>1.5</v>
      </c>
      <c r="Z143" s="676">
        <f t="shared" si="43"/>
        <v>0</v>
      </c>
      <c r="AA143" s="676">
        <f t="shared" si="43"/>
        <v>1</v>
      </c>
      <c r="AB143" s="1955">
        <f t="shared" si="44"/>
        <v>0.96000000000000019</v>
      </c>
      <c r="AC143" s="1956"/>
      <c r="AD143" s="688">
        <f t="shared" si="29"/>
        <v>1</v>
      </c>
      <c r="AE143" s="689">
        <v>4</v>
      </c>
      <c r="AF143" s="688">
        <v>1</v>
      </c>
      <c r="AG143" s="688">
        <f t="shared" si="50"/>
        <v>0.5</v>
      </c>
      <c r="AH143" s="688">
        <v>1</v>
      </c>
      <c r="AI143" s="688">
        <f t="shared" si="50"/>
        <v>3</v>
      </c>
      <c r="AJ143" s="1945">
        <f t="shared" si="35"/>
        <v>513.33749999999986</v>
      </c>
      <c r="AK143" s="1946"/>
      <c r="AL143" s="1941">
        <f t="shared" si="36"/>
        <v>514.2974999999999</v>
      </c>
      <c r="AM143" s="1942"/>
      <c r="AN143" s="1941">
        <f t="shared" si="37"/>
        <v>582.7974999999999</v>
      </c>
      <c r="AO143" s="1942"/>
    </row>
    <row r="144" spans="1:41">
      <c r="A144" s="1370"/>
      <c r="B144" s="1797"/>
      <c r="C144" s="1276" t="s">
        <v>20</v>
      </c>
      <c r="D144" s="1983">
        <f t="shared" si="40"/>
        <v>2</v>
      </c>
      <c r="E144" s="1985"/>
      <c r="F144" s="1983">
        <f t="shared" si="41"/>
        <v>130.03970892916911</v>
      </c>
      <c r="G144" s="1985"/>
      <c r="H144" s="1983">
        <f t="shared" si="46"/>
        <v>111.83414967908543</v>
      </c>
      <c r="I144" s="1985"/>
      <c r="J144" s="1941">
        <f t="shared" si="42"/>
        <v>11.183414967908544</v>
      </c>
      <c r="K144" s="1950"/>
      <c r="L144" s="1977">
        <v>2</v>
      </c>
      <c r="M144" s="1978"/>
      <c r="N144" s="1163">
        <v>0.08</v>
      </c>
      <c r="O144" s="660">
        <f t="shared" si="47"/>
        <v>5</v>
      </c>
      <c r="P144" s="1968">
        <f t="shared" si="48"/>
        <v>10</v>
      </c>
      <c r="Q144" s="1969"/>
      <c r="R144" s="1968">
        <f t="shared" si="49"/>
        <v>62.5</v>
      </c>
      <c r="S144" s="1969"/>
      <c r="T144" s="676">
        <f t="shared" si="25"/>
        <v>1</v>
      </c>
      <c r="U144" s="676">
        <f t="shared" si="43"/>
        <v>3</v>
      </c>
      <c r="V144" s="676">
        <f t="shared" si="43"/>
        <v>0</v>
      </c>
      <c r="W144" s="676">
        <f t="shared" si="43"/>
        <v>2</v>
      </c>
      <c r="X144" s="676">
        <f t="shared" si="43"/>
        <v>0</v>
      </c>
      <c r="Y144" s="676">
        <f t="shared" si="43"/>
        <v>1.5</v>
      </c>
      <c r="Z144" s="676">
        <f t="shared" si="43"/>
        <v>0</v>
      </c>
      <c r="AA144" s="676">
        <f t="shared" si="43"/>
        <v>1</v>
      </c>
      <c r="AB144" s="1955">
        <f t="shared" si="44"/>
        <v>0.96000000000000019</v>
      </c>
      <c r="AC144" s="1956"/>
      <c r="AD144" s="688">
        <f t="shared" si="29"/>
        <v>1</v>
      </c>
      <c r="AE144" s="689">
        <v>4</v>
      </c>
      <c r="AF144" s="688">
        <v>1</v>
      </c>
      <c r="AG144" s="688">
        <f t="shared" si="50"/>
        <v>0.5</v>
      </c>
      <c r="AH144" s="688">
        <v>1</v>
      </c>
      <c r="AI144" s="688">
        <f t="shared" si="50"/>
        <v>3</v>
      </c>
      <c r="AJ144" s="1945">
        <f t="shared" si="35"/>
        <v>513.33749999999986</v>
      </c>
      <c r="AK144" s="1946"/>
      <c r="AL144" s="1941">
        <f t="shared" si="36"/>
        <v>514.2974999999999</v>
      </c>
      <c r="AM144" s="1942"/>
      <c r="AN144" s="1941">
        <f t="shared" si="37"/>
        <v>576.7974999999999</v>
      </c>
      <c r="AO144" s="1942"/>
    </row>
    <row r="145" spans="1:41">
      <c r="A145" s="1370"/>
      <c r="B145" s="1797"/>
      <c r="C145" s="1276" t="s">
        <v>586</v>
      </c>
      <c r="D145" s="1983">
        <f t="shared" si="40"/>
        <v>1</v>
      </c>
      <c r="E145" s="1985"/>
      <c r="F145" s="1983">
        <f t="shared" si="41"/>
        <v>76.01228428485058</v>
      </c>
      <c r="G145" s="1985"/>
      <c r="H145" s="1983">
        <f t="shared" si="46"/>
        <v>65.370564484971496</v>
      </c>
      <c r="I145" s="1985"/>
      <c r="J145" s="1941">
        <f t="shared" si="42"/>
        <v>6.5370564484971494</v>
      </c>
      <c r="K145" s="1950"/>
      <c r="L145" s="1977">
        <f t="shared" si="51"/>
        <v>2</v>
      </c>
      <c r="M145" s="1978"/>
      <c r="N145" s="1163">
        <f t="shared" si="47"/>
        <v>0.08</v>
      </c>
      <c r="O145" s="660">
        <f t="shared" si="47"/>
        <v>5.5</v>
      </c>
      <c r="P145" s="1968">
        <f t="shared" si="48"/>
        <v>11</v>
      </c>
      <c r="Q145" s="1969"/>
      <c r="R145" s="1968">
        <f t="shared" si="49"/>
        <v>63.5</v>
      </c>
      <c r="S145" s="1969"/>
      <c r="T145" s="676">
        <f t="shared" si="25"/>
        <v>1</v>
      </c>
      <c r="U145" s="676">
        <f t="shared" si="43"/>
        <v>3</v>
      </c>
      <c r="V145" s="676">
        <f t="shared" si="43"/>
        <v>0</v>
      </c>
      <c r="W145" s="676">
        <f t="shared" si="43"/>
        <v>2</v>
      </c>
      <c r="X145" s="676">
        <f t="shared" si="43"/>
        <v>0</v>
      </c>
      <c r="Y145" s="676">
        <f t="shared" si="43"/>
        <v>1.5</v>
      </c>
      <c r="Z145" s="676">
        <f t="shared" si="43"/>
        <v>0</v>
      </c>
      <c r="AA145" s="676">
        <f t="shared" si="43"/>
        <v>1</v>
      </c>
      <c r="AB145" s="1955">
        <f t="shared" si="44"/>
        <v>0.96000000000000019</v>
      </c>
      <c r="AC145" s="1956"/>
      <c r="AD145" s="688">
        <f t="shared" si="29"/>
        <v>1</v>
      </c>
      <c r="AE145" s="689">
        <v>4</v>
      </c>
      <c r="AF145" s="688">
        <v>1</v>
      </c>
      <c r="AG145" s="688">
        <f t="shared" si="50"/>
        <v>0.5</v>
      </c>
      <c r="AH145" s="688">
        <v>1</v>
      </c>
      <c r="AI145" s="688">
        <f t="shared" si="50"/>
        <v>3</v>
      </c>
      <c r="AJ145" s="1945">
        <f t="shared" si="35"/>
        <v>513.33749999999986</v>
      </c>
      <c r="AK145" s="1946"/>
      <c r="AL145" s="1941">
        <f t="shared" si="36"/>
        <v>514.2974999999999</v>
      </c>
      <c r="AM145" s="1942"/>
      <c r="AN145" s="1941">
        <f t="shared" si="37"/>
        <v>577.7974999999999</v>
      </c>
      <c r="AO145" s="1942"/>
    </row>
    <row r="146" spans="1:41">
      <c r="A146" s="1370"/>
      <c r="B146" s="1797"/>
      <c r="C146" s="1276" t="s">
        <v>19</v>
      </c>
      <c r="D146" s="1983">
        <f t="shared" si="40"/>
        <v>1</v>
      </c>
      <c r="E146" s="1985"/>
      <c r="F146" s="1983">
        <f t="shared" si="41"/>
        <v>73.452093506452826</v>
      </c>
      <c r="G146" s="1985"/>
      <c r="H146" s="1983">
        <f t="shared" si="46"/>
        <v>63.168800415549427</v>
      </c>
      <c r="I146" s="1985"/>
      <c r="J146" s="1941">
        <f t="shared" si="42"/>
        <v>6.3168800415549429</v>
      </c>
      <c r="K146" s="1950"/>
      <c r="L146" s="1977">
        <v>2</v>
      </c>
      <c r="M146" s="1978"/>
      <c r="N146" s="1163">
        <v>0.08</v>
      </c>
      <c r="O146" s="660">
        <f t="shared" si="47"/>
        <v>0</v>
      </c>
      <c r="P146" s="1968">
        <f t="shared" si="48"/>
        <v>0</v>
      </c>
      <c r="Q146" s="1969"/>
      <c r="R146" s="1968">
        <f t="shared" si="49"/>
        <v>52.5</v>
      </c>
      <c r="S146" s="1969"/>
      <c r="T146" s="676">
        <f t="shared" si="25"/>
        <v>1</v>
      </c>
      <c r="U146" s="676">
        <f t="shared" si="43"/>
        <v>3</v>
      </c>
      <c r="V146" s="676">
        <f t="shared" si="43"/>
        <v>0</v>
      </c>
      <c r="W146" s="676">
        <f t="shared" si="43"/>
        <v>0</v>
      </c>
      <c r="X146" s="676">
        <f t="shared" si="43"/>
        <v>0</v>
      </c>
      <c r="Y146" s="676">
        <f t="shared" si="43"/>
        <v>0</v>
      </c>
      <c r="Z146" s="676">
        <f t="shared" si="43"/>
        <v>1</v>
      </c>
      <c r="AA146" s="676">
        <f t="shared" si="43"/>
        <v>0</v>
      </c>
      <c r="AB146" s="1955">
        <f t="shared" si="44"/>
        <v>0.96000000000000019</v>
      </c>
      <c r="AC146" s="1956"/>
      <c r="AD146" s="688">
        <f t="shared" si="29"/>
        <v>1</v>
      </c>
      <c r="AE146" s="695">
        <v>4</v>
      </c>
      <c r="AF146" s="694">
        <v>1</v>
      </c>
      <c r="AG146" s="688">
        <f t="shared" si="50"/>
        <v>0.5</v>
      </c>
      <c r="AH146" s="694">
        <v>1</v>
      </c>
      <c r="AI146" s="688">
        <f t="shared" si="50"/>
        <v>3</v>
      </c>
      <c r="AJ146" s="1945">
        <f t="shared" si="35"/>
        <v>513.33749999999986</v>
      </c>
      <c r="AK146" s="1946"/>
      <c r="AL146" s="1941">
        <f t="shared" si="36"/>
        <v>514.2974999999999</v>
      </c>
      <c r="AM146" s="1942"/>
      <c r="AN146" s="1941">
        <f t="shared" si="37"/>
        <v>566.7974999999999</v>
      </c>
      <c r="AO146" s="1942"/>
    </row>
    <row r="147" spans="1:41">
      <c r="A147" s="1370"/>
      <c r="B147" s="1798"/>
      <c r="C147" s="1276" t="s">
        <v>588</v>
      </c>
      <c r="D147" s="1986">
        <f t="shared" si="40"/>
        <v>0</v>
      </c>
      <c r="E147" s="1987"/>
      <c r="F147" s="1986">
        <f t="shared" si="41"/>
        <v>4.3622325632013377</v>
      </c>
      <c r="G147" s="1987"/>
      <c r="H147" s="1986">
        <f t="shared" si="46"/>
        <v>3.7515200043531505</v>
      </c>
      <c r="I147" s="1987"/>
      <c r="J147" s="1941">
        <f t="shared" si="42"/>
        <v>0.37515200043531505</v>
      </c>
      <c r="K147" s="1950"/>
      <c r="L147" s="1979">
        <f t="shared" si="51"/>
        <v>2</v>
      </c>
      <c r="M147" s="1980"/>
      <c r="N147" s="1164">
        <f t="shared" si="47"/>
        <v>0.08</v>
      </c>
      <c r="O147" s="660">
        <f t="shared" si="47"/>
        <v>3</v>
      </c>
      <c r="P147" s="1970">
        <f t="shared" si="48"/>
        <v>6</v>
      </c>
      <c r="Q147" s="1971"/>
      <c r="R147" s="1970">
        <f t="shared" si="49"/>
        <v>58.5</v>
      </c>
      <c r="S147" s="1971"/>
      <c r="T147" s="681">
        <f t="shared" si="25"/>
        <v>1</v>
      </c>
      <c r="U147" s="681">
        <f t="shared" si="43"/>
        <v>3</v>
      </c>
      <c r="V147" s="681">
        <f t="shared" si="43"/>
        <v>0</v>
      </c>
      <c r="W147" s="681">
        <f t="shared" si="43"/>
        <v>0</v>
      </c>
      <c r="X147" s="681">
        <f t="shared" si="43"/>
        <v>0</v>
      </c>
      <c r="Y147" s="681">
        <f t="shared" si="43"/>
        <v>0</v>
      </c>
      <c r="Z147" s="681">
        <f t="shared" si="43"/>
        <v>0</v>
      </c>
      <c r="AA147" s="681">
        <f t="shared" si="43"/>
        <v>0</v>
      </c>
      <c r="AB147" s="1957">
        <f t="shared" si="44"/>
        <v>0.96000000000000019</v>
      </c>
      <c r="AC147" s="1958"/>
      <c r="AD147" s="692">
        <f t="shared" si="29"/>
        <v>1</v>
      </c>
      <c r="AE147" s="695">
        <v>4</v>
      </c>
      <c r="AF147" s="694">
        <v>0</v>
      </c>
      <c r="AG147" s="692">
        <f t="shared" si="50"/>
        <v>0.5</v>
      </c>
      <c r="AH147" s="694">
        <v>0</v>
      </c>
      <c r="AI147" s="692">
        <f t="shared" si="50"/>
        <v>3</v>
      </c>
      <c r="AJ147" s="1945">
        <f t="shared" si="35"/>
        <v>273.77999999999997</v>
      </c>
      <c r="AK147" s="1946"/>
      <c r="AL147" s="1943">
        <f t="shared" si="36"/>
        <v>274.73999999999995</v>
      </c>
      <c r="AM147" s="1944"/>
      <c r="AN147" s="1941">
        <f t="shared" si="37"/>
        <v>333.23999999999995</v>
      </c>
      <c r="AO147" s="1942"/>
    </row>
    <row r="148" spans="1:41">
      <c r="A148" s="1370"/>
      <c r="B148" s="1799" t="s">
        <v>810</v>
      </c>
      <c r="C148" s="1275" t="s">
        <v>9</v>
      </c>
      <c r="D148" s="1988">
        <f t="shared" si="40"/>
        <v>2</v>
      </c>
      <c r="E148" s="1989"/>
      <c r="F148" s="1988">
        <f t="shared" si="41"/>
        <v>136.51575431664779</v>
      </c>
      <c r="G148" s="1989"/>
      <c r="H148" s="1983">
        <f t="shared" si="46"/>
        <v>117.40354871231709</v>
      </c>
      <c r="I148" s="1984"/>
      <c r="J148" s="1951">
        <f t="shared" si="42"/>
        <v>11.740354871231709</v>
      </c>
      <c r="K148" s="1952"/>
      <c r="L148" s="1981">
        <v>2</v>
      </c>
      <c r="M148" s="1982"/>
      <c r="N148" s="653">
        <v>0.08</v>
      </c>
      <c r="O148" s="655">
        <f t="shared" ref="O148" si="52">O128</f>
        <v>10.7</v>
      </c>
      <c r="P148" s="1968">
        <f t="shared" si="48"/>
        <v>21.4</v>
      </c>
      <c r="Q148" s="1976"/>
      <c r="R148" s="1974">
        <f t="shared" si="49"/>
        <v>73.900000000000006</v>
      </c>
      <c r="S148" s="1975"/>
      <c r="T148" s="671">
        <f t="shared" si="25"/>
        <v>1</v>
      </c>
      <c r="U148" s="676">
        <f t="shared" si="43"/>
        <v>3</v>
      </c>
      <c r="V148" s="676">
        <f t="shared" si="43"/>
        <v>0</v>
      </c>
      <c r="W148" s="676">
        <f t="shared" si="43"/>
        <v>2</v>
      </c>
      <c r="X148" s="676">
        <f t="shared" si="43"/>
        <v>0</v>
      </c>
      <c r="Y148" s="676">
        <f t="shared" si="43"/>
        <v>1.5</v>
      </c>
      <c r="Z148" s="676">
        <f t="shared" si="43"/>
        <v>0</v>
      </c>
      <c r="AA148" s="676">
        <f t="shared" si="43"/>
        <v>1</v>
      </c>
      <c r="AB148" s="1955">
        <f t="shared" si="44"/>
        <v>0.96000000000000019</v>
      </c>
      <c r="AC148" s="1956"/>
      <c r="AD148" s="684">
        <f t="shared" si="29"/>
        <v>1</v>
      </c>
      <c r="AE148" s="685">
        <v>4</v>
      </c>
      <c r="AF148" s="684">
        <v>1</v>
      </c>
      <c r="AG148" s="690">
        <f t="shared" si="50"/>
        <v>0.5</v>
      </c>
      <c r="AH148" s="684">
        <v>1</v>
      </c>
      <c r="AI148" s="690">
        <f t="shared" si="50"/>
        <v>3</v>
      </c>
      <c r="AJ148" s="1947">
        <f t="shared" si="35"/>
        <v>513.33749999999986</v>
      </c>
      <c r="AK148" s="1948"/>
      <c r="AL148" s="1941">
        <f t="shared" si="36"/>
        <v>514.2974999999999</v>
      </c>
      <c r="AM148" s="1950"/>
      <c r="AN148" s="1951">
        <f t="shared" si="37"/>
        <v>588.19749999999988</v>
      </c>
      <c r="AO148" s="1952"/>
    </row>
    <row r="149" spans="1:41">
      <c r="A149" s="1370"/>
      <c r="B149" s="1800"/>
      <c r="C149" s="1276" t="s">
        <v>804</v>
      </c>
      <c r="D149" s="1983">
        <f t="shared" si="40"/>
        <v>5</v>
      </c>
      <c r="E149" s="1985"/>
      <c r="F149" s="1983">
        <f t="shared" si="41"/>
        <v>525.36703794605739</v>
      </c>
      <c r="G149" s="1985"/>
      <c r="H149" s="1983">
        <f t="shared" si="46"/>
        <v>451.81565263360937</v>
      </c>
      <c r="I149" s="1984"/>
      <c r="J149" s="1941">
        <f t="shared" si="42"/>
        <v>45.181565263360937</v>
      </c>
      <c r="K149" s="1942"/>
      <c r="L149" s="1977">
        <v>16</v>
      </c>
      <c r="M149" s="1978"/>
      <c r="N149" s="653">
        <v>0.27</v>
      </c>
      <c r="O149" s="660">
        <f t="shared" ref="O149" si="53">O129</f>
        <v>6.5</v>
      </c>
      <c r="P149" s="1968">
        <f t="shared" si="48"/>
        <v>104</v>
      </c>
      <c r="Q149" s="1976"/>
      <c r="R149" s="1968">
        <f t="shared" si="49"/>
        <v>156.5</v>
      </c>
      <c r="S149" s="1969"/>
      <c r="T149" s="676">
        <f t="shared" si="25"/>
        <v>1</v>
      </c>
      <c r="U149" s="676">
        <f t="shared" si="43"/>
        <v>3</v>
      </c>
      <c r="V149" s="676">
        <f t="shared" si="43"/>
        <v>0</v>
      </c>
      <c r="W149" s="676">
        <f t="shared" si="43"/>
        <v>2</v>
      </c>
      <c r="X149" s="676">
        <f t="shared" si="43"/>
        <v>0</v>
      </c>
      <c r="Y149" s="676">
        <f t="shared" si="43"/>
        <v>1.5</v>
      </c>
      <c r="Z149" s="676">
        <f t="shared" si="43"/>
        <v>0</v>
      </c>
      <c r="AA149" s="676">
        <f t="shared" si="43"/>
        <v>1</v>
      </c>
      <c r="AB149" s="1955">
        <f t="shared" si="44"/>
        <v>10.935</v>
      </c>
      <c r="AC149" s="1956"/>
      <c r="AD149" s="688">
        <f t="shared" si="29"/>
        <v>1</v>
      </c>
      <c r="AE149" s="689">
        <v>4</v>
      </c>
      <c r="AF149" s="688">
        <v>1</v>
      </c>
      <c r="AG149" s="690">
        <f t="shared" si="50"/>
        <v>0.5</v>
      </c>
      <c r="AH149" s="688">
        <v>1</v>
      </c>
      <c r="AI149" s="690">
        <f t="shared" si="50"/>
        <v>3</v>
      </c>
      <c r="AJ149" s="1945">
        <f t="shared" si="35"/>
        <v>513.33749999999986</v>
      </c>
      <c r="AK149" s="1949"/>
      <c r="AL149" s="1941">
        <f t="shared" si="36"/>
        <v>524.27249999999981</v>
      </c>
      <c r="AM149" s="1950"/>
      <c r="AN149" s="1941">
        <f t="shared" si="37"/>
        <v>680.77249999999981</v>
      </c>
      <c r="AO149" s="1942"/>
    </row>
    <row r="150" spans="1:41">
      <c r="A150" s="1370"/>
      <c r="B150" s="1800"/>
      <c r="C150" s="1276" t="s">
        <v>22</v>
      </c>
      <c r="D150" s="1983">
        <f t="shared" si="40"/>
        <v>0</v>
      </c>
      <c r="E150" s="1985"/>
      <c r="F150" s="1983">
        <f t="shared" si="41"/>
        <v>-4.9458002001202486</v>
      </c>
      <c r="G150" s="1985"/>
      <c r="H150" s="1983">
        <f t="shared" si="46"/>
        <v>-4.2533881721034135</v>
      </c>
      <c r="I150" s="1984"/>
      <c r="J150" s="1941">
        <f t="shared" si="42"/>
        <v>-0.42533881721034134</v>
      </c>
      <c r="K150" s="1942"/>
      <c r="L150" s="1977">
        <f t="shared" ref="L150:L157" si="54">L130</f>
        <v>2</v>
      </c>
      <c r="M150" s="1978"/>
      <c r="N150" s="653">
        <f t="shared" si="47"/>
        <v>0.08</v>
      </c>
      <c r="O150" s="660">
        <f t="shared" ref="O150" si="55">O130</f>
        <v>5.7</v>
      </c>
      <c r="P150" s="1968">
        <f t="shared" si="48"/>
        <v>11.4</v>
      </c>
      <c r="Q150" s="1976"/>
      <c r="R150" s="1968">
        <f t="shared" si="49"/>
        <v>63.9</v>
      </c>
      <c r="S150" s="1969"/>
      <c r="T150" s="676">
        <f t="shared" si="25"/>
        <v>0</v>
      </c>
      <c r="U150" s="676">
        <f t="shared" si="43"/>
        <v>3</v>
      </c>
      <c r="V150" s="676">
        <f t="shared" si="43"/>
        <v>0</v>
      </c>
      <c r="W150" s="676">
        <f t="shared" si="43"/>
        <v>2</v>
      </c>
      <c r="X150" s="676">
        <f t="shared" si="43"/>
        <v>0</v>
      </c>
      <c r="Y150" s="676">
        <f t="shared" si="43"/>
        <v>1.5</v>
      </c>
      <c r="Z150" s="676">
        <f t="shared" si="43"/>
        <v>0</v>
      </c>
      <c r="AA150" s="676">
        <f t="shared" si="43"/>
        <v>1</v>
      </c>
      <c r="AB150" s="1955">
        <f t="shared" si="44"/>
        <v>0</v>
      </c>
      <c r="AC150" s="1956"/>
      <c r="AD150" s="688">
        <f t="shared" si="29"/>
        <v>0</v>
      </c>
      <c r="AE150" s="689">
        <v>4</v>
      </c>
      <c r="AF150" s="688">
        <v>0</v>
      </c>
      <c r="AG150" s="690">
        <f t="shared" si="50"/>
        <v>0.5</v>
      </c>
      <c r="AH150" s="688">
        <v>0</v>
      </c>
      <c r="AI150" s="690">
        <f t="shared" si="50"/>
        <v>3</v>
      </c>
      <c r="AJ150" s="1945">
        <f t="shared" si="35"/>
        <v>0</v>
      </c>
      <c r="AK150" s="1949"/>
      <c r="AL150" s="1941">
        <f t="shared" si="36"/>
        <v>0</v>
      </c>
      <c r="AM150" s="1950"/>
      <c r="AN150" s="1941">
        <f t="shared" si="37"/>
        <v>63.9</v>
      </c>
      <c r="AO150" s="1942"/>
    </row>
    <row r="151" spans="1:41">
      <c r="A151" s="1370"/>
      <c r="B151" s="1800"/>
      <c r="C151" s="1276" t="s">
        <v>803</v>
      </c>
      <c r="D151" s="1983">
        <f t="shared" si="40"/>
        <v>1</v>
      </c>
      <c r="E151" s="1985"/>
      <c r="F151" s="1983">
        <f t="shared" si="41"/>
        <v>4.3523034834679066</v>
      </c>
      <c r="G151" s="1985"/>
      <c r="H151" s="1983">
        <f t="shared" si="46"/>
        <v>3.7429809957823998</v>
      </c>
      <c r="I151" s="1984"/>
      <c r="J151" s="1941">
        <f t="shared" si="42"/>
        <v>0.37429809957824001</v>
      </c>
      <c r="K151" s="1942"/>
      <c r="L151" s="1977">
        <f t="shared" si="54"/>
        <v>2</v>
      </c>
      <c r="M151" s="1978"/>
      <c r="N151" s="653">
        <f t="shared" si="47"/>
        <v>0.08</v>
      </c>
      <c r="O151" s="660">
        <f t="shared" ref="O151" si="56">O131</f>
        <v>5.2</v>
      </c>
      <c r="P151" s="1968">
        <f t="shared" si="48"/>
        <v>10.4</v>
      </c>
      <c r="Q151" s="1976"/>
      <c r="R151" s="1968">
        <f t="shared" si="49"/>
        <v>62.9</v>
      </c>
      <c r="S151" s="1969"/>
      <c r="T151" s="676">
        <f t="shared" si="25"/>
        <v>1</v>
      </c>
      <c r="U151" s="676">
        <f t="shared" si="43"/>
        <v>3</v>
      </c>
      <c r="V151" s="676">
        <f t="shared" si="43"/>
        <v>0</v>
      </c>
      <c r="W151" s="676">
        <f t="shared" si="43"/>
        <v>2</v>
      </c>
      <c r="X151" s="676">
        <f t="shared" si="43"/>
        <v>1</v>
      </c>
      <c r="Y151" s="676">
        <f t="shared" si="43"/>
        <v>1.5</v>
      </c>
      <c r="Z151" s="676">
        <f t="shared" si="43"/>
        <v>0</v>
      </c>
      <c r="AA151" s="676">
        <f t="shared" si="43"/>
        <v>1</v>
      </c>
      <c r="AB151" s="1955">
        <f t="shared" si="44"/>
        <v>1.44</v>
      </c>
      <c r="AC151" s="1956"/>
      <c r="AD151" s="688">
        <f t="shared" si="29"/>
        <v>1</v>
      </c>
      <c r="AE151" s="689">
        <v>4</v>
      </c>
      <c r="AF151" s="688">
        <v>0</v>
      </c>
      <c r="AG151" s="690">
        <f t="shared" si="50"/>
        <v>0.5</v>
      </c>
      <c r="AH151" s="688">
        <v>0</v>
      </c>
      <c r="AI151" s="690">
        <f t="shared" si="50"/>
        <v>3</v>
      </c>
      <c r="AJ151" s="1945">
        <f t="shared" si="35"/>
        <v>273.77999999999997</v>
      </c>
      <c r="AK151" s="1949"/>
      <c r="AL151" s="1941">
        <f t="shared" si="36"/>
        <v>275.21999999999997</v>
      </c>
      <c r="AM151" s="1950"/>
      <c r="AN151" s="1941">
        <f t="shared" si="37"/>
        <v>338.11999999999995</v>
      </c>
      <c r="AO151" s="1942"/>
    </row>
    <row r="152" spans="1:41">
      <c r="A152" s="1370"/>
      <c r="B152" s="1800"/>
      <c r="C152" s="1276" t="s">
        <v>802</v>
      </c>
      <c r="D152" s="1983">
        <f t="shared" si="40"/>
        <v>1</v>
      </c>
      <c r="E152" s="1985"/>
      <c r="F152" s="1983">
        <f t="shared" si="41"/>
        <v>54.039872503264547</v>
      </c>
      <c r="G152" s="1985"/>
      <c r="H152" s="1983">
        <f t="shared" si="46"/>
        <v>46.474290352807508</v>
      </c>
      <c r="I152" s="1984"/>
      <c r="J152" s="1941">
        <f t="shared" si="42"/>
        <v>4.6474290352807506</v>
      </c>
      <c r="K152" s="1942"/>
      <c r="L152" s="1977">
        <f t="shared" si="54"/>
        <v>2</v>
      </c>
      <c r="M152" s="1978"/>
      <c r="N152" s="653">
        <f t="shared" si="47"/>
        <v>0.08</v>
      </c>
      <c r="O152" s="660">
        <f t="shared" ref="O152" si="57">O132</f>
        <v>6.24</v>
      </c>
      <c r="P152" s="1968">
        <f t="shared" si="48"/>
        <v>12.48</v>
      </c>
      <c r="Q152" s="1976"/>
      <c r="R152" s="1968">
        <f t="shared" si="49"/>
        <v>64.98</v>
      </c>
      <c r="S152" s="1969"/>
      <c r="T152" s="676">
        <f t="shared" si="25"/>
        <v>1</v>
      </c>
      <c r="U152" s="676">
        <f t="shared" si="43"/>
        <v>3</v>
      </c>
      <c r="V152" s="676">
        <f t="shared" si="43"/>
        <v>0</v>
      </c>
      <c r="W152" s="676">
        <f t="shared" si="43"/>
        <v>2</v>
      </c>
      <c r="X152" s="676">
        <f t="shared" si="43"/>
        <v>0</v>
      </c>
      <c r="Y152" s="676">
        <f t="shared" si="43"/>
        <v>1.5</v>
      </c>
      <c r="Z152" s="676">
        <f t="shared" si="43"/>
        <v>0</v>
      </c>
      <c r="AA152" s="676">
        <f t="shared" si="43"/>
        <v>1</v>
      </c>
      <c r="AB152" s="1955">
        <f t="shared" si="44"/>
        <v>0.96000000000000019</v>
      </c>
      <c r="AC152" s="1956"/>
      <c r="AD152" s="688">
        <f t="shared" si="29"/>
        <v>1</v>
      </c>
      <c r="AE152" s="689">
        <v>4</v>
      </c>
      <c r="AF152" s="688">
        <v>1</v>
      </c>
      <c r="AG152" s="690">
        <f t="shared" si="50"/>
        <v>0.5</v>
      </c>
      <c r="AH152" s="688">
        <v>1</v>
      </c>
      <c r="AI152" s="690">
        <f t="shared" si="50"/>
        <v>3</v>
      </c>
      <c r="AJ152" s="1945">
        <f t="shared" si="35"/>
        <v>513.33749999999986</v>
      </c>
      <c r="AK152" s="1949"/>
      <c r="AL152" s="1941">
        <f t="shared" si="36"/>
        <v>514.2974999999999</v>
      </c>
      <c r="AM152" s="1950"/>
      <c r="AN152" s="1941">
        <f t="shared" si="37"/>
        <v>579.27749999999992</v>
      </c>
      <c r="AO152" s="1942"/>
    </row>
    <row r="153" spans="1:41">
      <c r="A153" s="1370"/>
      <c r="B153" s="1800"/>
      <c r="C153" s="1276" t="s">
        <v>587</v>
      </c>
      <c r="D153" s="1983">
        <f t="shared" si="40"/>
        <v>1</v>
      </c>
      <c r="E153" s="1985"/>
      <c r="F153" s="1983">
        <f t="shared" si="41"/>
        <v>83.713385228420123</v>
      </c>
      <c r="G153" s="1985"/>
      <c r="H153" s="1983">
        <f t="shared" si="46"/>
        <v>71.993511296441298</v>
      </c>
      <c r="I153" s="1984"/>
      <c r="J153" s="1941">
        <f t="shared" si="42"/>
        <v>7.1993511296441302</v>
      </c>
      <c r="K153" s="1942"/>
      <c r="L153" s="1977">
        <f t="shared" si="54"/>
        <v>2</v>
      </c>
      <c r="M153" s="1978"/>
      <c r="N153" s="653">
        <f t="shared" si="47"/>
        <v>0.08</v>
      </c>
      <c r="O153" s="660">
        <f t="shared" ref="O153" si="58">O133</f>
        <v>8</v>
      </c>
      <c r="P153" s="1968">
        <f t="shared" si="48"/>
        <v>16</v>
      </c>
      <c r="Q153" s="1976"/>
      <c r="R153" s="1968">
        <f t="shared" si="49"/>
        <v>68.5</v>
      </c>
      <c r="S153" s="1969"/>
      <c r="T153" s="676">
        <f t="shared" si="25"/>
        <v>1</v>
      </c>
      <c r="U153" s="676">
        <f t="shared" si="43"/>
        <v>3</v>
      </c>
      <c r="V153" s="676">
        <f t="shared" si="43"/>
        <v>0</v>
      </c>
      <c r="W153" s="676">
        <f t="shared" si="43"/>
        <v>2</v>
      </c>
      <c r="X153" s="676">
        <f t="shared" si="43"/>
        <v>0</v>
      </c>
      <c r="Y153" s="676">
        <f t="shared" si="43"/>
        <v>1.5</v>
      </c>
      <c r="Z153" s="676">
        <f t="shared" si="43"/>
        <v>0</v>
      </c>
      <c r="AA153" s="676">
        <f t="shared" si="43"/>
        <v>1</v>
      </c>
      <c r="AB153" s="1955">
        <f t="shared" si="44"/>
        <v>0.96000000000000019</v>
      </c>
      <c r="AC153" s="1956"/>
      <c r="AD153" s="688">
        <f t="shared" si="29"/>
        <v>1</v>
      </c>
      <c r="AE153" s="689">
        <v>4</v>
      </c>
      <c r="AF153" s="688">
        <v>1</v>
      </c>
      <c r="AG153" s="690">
        <f t="shared" si="50"/>
        <v>0.5</v>
      </c>
      <c r="AH153" s="688">
        <v>1</v>
      </c>
      <c r="AI153" s="690">
        <f t="shared" si="50"/>
        <v>3</v>
      </c>
      <c r="AJ153" s="1945">
        <f t="shared" si="35"/>
        <v>513.33749999999986</v>
      </c>
      <c r="AK153" s="1949"/>
      <c r="AL153" s="1941">
        <f t="shared" si="36"/>
        <v>514.2974999999999</v>
      </c>
      <c r="AM153" s="1950"/>
      <c r="AN153" s="1941">
        <f t="shared" si="37"/>
        <v>582.7974999999999</v>
      </c>
      <c r="AO153" s="1942"/>
    </row>
    <row r="154" spans="1:41">
      <c r="A154" s="1370"/>
      <c r="B154" s="1800"/>
      <c r="C154" s="1276" t="s">
        <v>20</v>
      </c>
      <c r="D154" s="1983">
        <f t="shared" si="40"/>
        <v>1</v>
      </c>
      <c r="E154" s="1985"/>
      <c r="F154" s="1983">
        <f t="shared" si="41"/>
        <v>103.3587061004547</v>
      </c>
      <c r="G154" s="1985"/>
      <c r="H154" s="1983">
        <f t="shared" si="46"/>
        <v>88.888487246391037</v>
      </c>
      <c r="I154" s="1984"/>
      <c r="J154" s="1941">
        <f t="shared" si="42"/>
        <v>8.8888487246391037</v>
      </c>
      <c r="K154" s="1942"/>
      <c r="L154" s="1977">
        <v>2</v>
      </c>
      <c r="M154" s="1978"/>
      <c r="N154" s="653">
        <v>0.08</v>
      </c>
      <c r="O154" s="660">
        <f t="shared" ref="O154" si="59">O134</f>
        <v>5</v>
      </c>
      <c r="P154" s="1968">
        <f t="shared" si="48"/>
        <v>10</v>
      </c>
      <c r="Q154" s="1976"/>
      <c r="R154" s="1968">
        <f t="shared" si="49"/>
        <v>62.5</v>
      </c>
      <c r="S154" s="1969"/>
      <c r="T154" s="676">
        <f t="shared" si="25"/>
        <v>1</v>
      </c>
      <c r="U154" s="676">
        <f t="shared" si="43"/>
        <v>3</v>
      </c>
      <c r="V154" s="676">
        <f t="shared" si="43"/>
        <v>0</v>
      </c>
      <c r="W154" s="676">
        <f t="shared" si="43"/>
        <v>2</v>
      </c>
      <c r="X154" s="676">
        <f t="shared" si="43"/>
        <v>0</v>
      </c>
      <c r="Y154" s="676">
        <f t="shared" si="43"/>
        <v>1.5</v>
      </c>
      <c r="Z154" s="676">
        <f t="shared" si="43"/>
        <v>0</v>
      </c>
      <c r="AA154" s="676">
        <f t="shared" si="43"/>
        <v>1</v>
      </c>
      <c r="AB154" s="1955">
        <f t="shared" si="44"/>
        <v>0.96000000000000019</v>
      </c>
      <c r="AC154" s="1956"/>
      <c r="AD154" s="688">
        <f t="shared" si="29"/>
        <v>1</v>
      </c>
      <c r="AE154" s="689">
        <v>4</v>
      </c>
      <c r="AF154" s="688">
        <v>1</v>
      </c>
      <c r="AG154" s="690">
        <f t="shared" si="50"/>
        <v>0.5</v>
      </c>
      <c r="AH154" s="688">
        <v>1</v>
      </c>
      <c r="AI154" s="690">
        <f t="shared" si="50"/>
        <v>3</v>
      </c>
      <c r="AJ154" s="1945">
        <f t="shared" si="35"/>
        <v>513.33749999999986</v>
      </c>
      <c r="AK154" s="1949"/>
      <c r="AL154" s="1941">
        <f t="shared" si="36"/>
        <v>514.2974999999999</v>
      </c>
      <c r="AM154" s="1950"/>
      <c r="AN154" s="1941">
        <f t="shared" si="37"/>
        <v>576.7974999999999</v>
      </c>
      <c r="AO154" s="1942"/>
    </row>
    <row r="155" spans="1:41">
      <c r="A155" s="1370"/>
      <c r="B155" s="1800"/>
      <c r="C155" s="1276" t="s">
        <v>586</v>
      </c>
      <c r="D155" s="1983">
        <f t="shared" si="40"/>
        <v>1</v>
      </c>
      <c r="E155" s="1985"/>
      <c r="F155" s="1983">
        <f t="shared" si="41"/>
        <v>22.767954538746149</v>
      </c>
      <c r="G155" s="1985"/>
      <c r="H155" s="1983">
        <f t="shared" si="46"/>
        <v>19.580440903321687</v>
      </c>
      <c r="I155" s="1984"/>
      <c r="J155" s="1941">
        <f t="shared" si="42"/>
        <v>1.9580440903321688</v>
      </c>
      <c r="K155" s="1942"/>
      <c r="L155" s="1977">
        <f t="shared" si="54"/>
        <v>2</v>
      </c>
      <c r="M155" s="1978"/>
      <c r="N155" s="653">
        <f t="shared" si="47"/>
        <v>0.08</v>
      </c>
      <c r="O155" s="660">
        <f t="shared" ref="O155" si="60">O135</f>
        <v>5.5</v>
      </c>
      <c r="P155" s="1968">
        <f t="shared" si="48"/>
        <v>11</v>
      </c>
      <c r="Q155" s="1976"/>
      <c r="R155" s="1968">
        <f t="shared" si="49"/>
        <v>63.5</v>
      </c>
      <c r="S155" s="1969"/>
      <c r="T155" s="676">
        <f t="shared" si="25"/>
        <v>1</v>
      </c>
      <c r="U155" s="676">
        <f t="shared" si="43"/>
        <v>3</v>
      </c>
      <c r="V155" s="676">
        <f t="shared" si="43"/>
        <v>0</v>
      </c>
      <c r="W155" s="676">
        <f t="shared" si="43"/>
        <v>2</v>
      </c>
      <c r="X155" s="676">
        <f t="shared" si="43"/>
        <v>0</v>
      </c>
      <c r="Y155" s="676">
        <f t="shared" si="43"/>
        <v>1.5</v>
      </c>
      <c r="Z155" s="676">
        <f t="shared" si="43"/>
        <v>0</v>
      </c>
      <c r="AA155" s="676">
        <f t="shared" si="43"/>
        <v>1</v>
      </c>
      <c r="AB155" s="1955">
        <f t="shared" si="44"/>
        <v>0.96000000000000019</v>
      </c>
      <c r="AC155" s="1956"/>
      <c r="AD155" s="688">
        <f t="shared" si="29"/>
        <v>1</v>
      </c>
      <c r="AE155" s="689">
        <v>4</v>
      </c>
      <c r="AF155" s="688">
        <v>1</v>
      </c>
      <c r="AG155" s="690">
        <f t="shared" si="50"/>
        <v>0.5</v>
      </c>
      <c r="AH155" s="688">
        <v>1</v>
      </c>
      <c r="AI155" s="690">
        <f t="shared" si="50"/>
        <v>3</v>
      </c>
      <c r="AJ155" s="1945">
        <f t="shared" si="35"/>
        <v>513.33749999999986</v>
      </c>
      <c r="AK155" s="1949"/>
      <c r="AL155" s="1941">
        <f t="shared" si="36"/>
        <v>514.2974999999999</v>
      </c>
      <c r="AM155" s="1950"/>
      <c r="AN155" s="1941">
        <f t="shared" si="37"/>
        <v>577.7974999999999</v>
      </c>
      <c r="AO155" s="1942"/>
    </row>
    <row r="156" spans="1:41">
      <c r="A156" s="1370"/>
      <c r="B156" s="1800"/>
      <c r="C156" s="1276" t="s">
        <v>19</v>
      </c>
      <c r="D156" s="1983">
        <f t="shared" si="40"/>
        <v>1</v>
      </c>
      <c r="E156" s="1985"/>
      <c r="F156" s="1983">
        <f t="shared" si="41"/>
        <v>73.452093506452826</v>
      </c>
      <c r="G156" s="1985"/>
      <c r="H156" s="1983">
        <f t="shared" si="46"/>
        <v>63.168800415549427</v>
      </c>
      <c r="I156" s="1984"/>
      <c r="J156" s="1941">
        <f t="shared" si="42"/>
        <v>6.3168800415549429</v>
      </c>
      <c r="K156" s="1942"/>
      <c r="L156" s="1977">
        <f t="shared" si="54"/>
        <v>2</v>
      </c>
      <c r="M156" s="1978"/>
      <c r="N156" s="653">
        <f t="shared" si="47"/>
        <v>0.8</v>
      </c>
      <c r="O156" s="660">
        <f t="shared" ref="O156" si="61">O136</f>
        <v>0</v>
      </c>
      <c r="P156" s="1968">
        <f t="shared" si="48"/>
        <v>0</v>
      </c>
      <c r="Q156" s="1976"/>
      <c r="R156" s="1968">
        <f t="shared" si="49"/>
        <v>52.5</v>
      </c>
      <c r="S156" s="1969"/>
      <c r="T156" s="676">
        <f t="shared" si="25"/>
        <v>1</v>
      </c>
      <c r="U156" s="676">
        <f t="shared" si="43"/>
        <v>3</v>
      </c>
      <c r="V156" s="676">
        <f t="shared" si="43"/>
        <v>0</v>
      </c>
      <c r="W156" s="676">
        <f t="shared" si="43"/>
        <v>0</v>
      </c>
      <c r="X156" s="676">
        <f t="shared" si="43"/>
        <v>0</v>
      </c>
      <c r="Y156" s="676">
        <f t="shared" si="43"/>
        <v>0</v>
      </c>
      <c r="Z156" s="676">
        <f t="shared" si="43"/>
        <v>1</v>
      </c>
      <c r="AA156" s="676">
        <f t="shared" si="43"/>
        <v>0</v>
      </c>
      <c r="AB156" s="1955">
        <f t="shared" si="44"/>
        <v>96.000000000000028</v>
      </c>
      <c r="AC156" s="1956"/>
      <c r="AD156" s="688">
        <f t="shared" si="29"/>
        <v>1</v>
      </c>
      <c r="AE156" s="695">
        <v>4</v>
      </c>
      <c r="AF156" s="688">
        <v>1</v>
      </c>
      <c r="AG156" s="690">
        <f t="shared" si="50"/>
        <v>0.5</v>
      </c>
      <c r="AH156" s="688">
        <v>1</v>
      </c>
      <c r="AI156" s="690">
        <f t="shared" si="50"/>
        <v>3</v>
      </c>
      <c r="AJ156" s="1945">
        <f t="shared" si="35"/>
        <v>513.33749999999986</v>
      </c>
      <c r="AK156" s="1949"/>
      <c r="AL156" s="1941">
        <f t="shared" si="36"/>
        <v>609.33749999999986</v>
      </c>
      <c r="AM156" s="1950"/>
      <c r="AN156" s="1941">
        <f t="shared" si="37"/>
        <v>661.83749999999986</v>
      </c>
      <c r="AO156" s="1942"/>
    </row>
    <row r="157" spans="1:41">
      <c r="A157" s="1371"/>
      <c r="B157" s="1801"/>
      <c r="C157" s="1276" t="s">
        <v>588</v>
      </c>
      <c r="D157" s="1986">
        <f t="shared" si="40"/>
        <v>0</v>
      </c>
      <c r="E157" s="1987"/>
      <c r="F157" s="1986">
        <f t="shared" si="41"/>
        <v>4.3622325632013377</v>
      </c>
      <c r="G157" s="1987"/>
      <c r="H157" s="1983">
        <f t="shared" si="46"/>
        <v>3.7515200043531505</v>
      </c>
      <c r="I157" s="1984"/>
      <c r="J157" s="1943">
        <f t="shared" si="42"/>
        <v>0.37515200043531505</v>
      </c>
      <c r="K157" s="1944"/>
      <c r="L157" s="1979">
        <f t="shared" si="54"/>
        <v>2</v>
      </c>
      <c r="M157" s="1980"/>
      <c r="N157" s="653">
        <f t="shared" si="47"/>
        <v>0.08</v>
      </c>
      <c r="O157" s="661">
        <f t="shared" ref="O157" si="62">O137</f>
        <v>3</v>
      </c>
      <c r="P157" s="1968">
        <f t="shared" si="48"/>
        <v>6</v>
      </c>
      <c r="Q157" s="1976"/>
      <c r="R157" s="1970">
        <f t="shared" si="49"/>
        <v>58.5</v>
      </c>
      <c r="S157" s="1971"/>
      <c r="T157" s="681">
        <f t="shared" si="25"/>
        <v>1</v>
      </c>
      <c r="U157" s="676">
        <f t="shared" si="43"/>
        <v>3</v>
      </c>
      <c r="V157" s="676">
        <f t="shared" si="43"/>
        <v>0</v>
      </c>
      <c r="W157" s="676">
        <f t="shared" si="43"/>
        <v>0</v>
      </c>
      <c r="X157" s="676">
        <f t="shared" si="43"/>
        <v>0</v>
      </c>
      <c r="Y157" s="676">
        <f t="shared" si="43"/>
        <v>0</v>
      </c>
      <c r="Z157" s="676">
        <f t="shared" si="43"/>
        <v>0</v>
      </c>
      <c r="AA157" s="676">
        <f t="shared" si="43"/>
        <v>0</v>
      </c>
      <c r="AB157" s="1955">
        <f t="shared" si="44"/>
        <v>0.96000000000000019</v>
      </c>
      <c r="AC157" s="1956"/>
      <c r="AD157" s="692">
        <f t="shared" si="29"/>
        <v>1</v>
      </c>
      <c r="AE157" s="695">
        <v>4</v>
      </c>
      <c r="AF157" s="692">
        <v>0</v>
      </c>
      <c r="AG157" s="690">
        <f t="shared" si="50"/>
        <v>0.5</v>
      </c>
      <c r="AH157" s="692">
        <v>0</v>
      </c>
      <c r="AI157" s="690">
        <f t="shared" si="50"/>
        <v>3</v>
      </c>
      <c r="AJ157" s="1959">
        <f t="shared" si="35"/>
        <v>273.77999999999997</v>
      </c>
      <c r="AK157" s="1960"/>
      <c r="AL157" s="1941">
        <f t="shared" si="36"/>
        <v>274.73999999999995</v>
      </c>
      <c r="AM157" s="1950"/>
      <c r="AN157" s="1943">
        <f t="shared" si="37"/>
        <v>333.23999999999995</v>
      </c>
      <c r="AO157" s="1944"/>
    </row>
    <row r="158" spans="1:41">
      <c r="A158" s="1377" t="s">
        <v>857</v>
      </c>
      <c r="B158" s="1802" t="s">
        <v>809</v>
      </c>
      <c r="C158" s="1275" t="s">
        <v>9</v>
      </c>
      <c r="D158" s="1988">
        <f t="shared" si="40"/>
        <v>2</v>
      </c>
      <c r="E158" s="1989"/>
      <c r="F158" s="1988">
        <f t="shared" si="41"/>
        <v>189.64508071788183</v>
      </c>
      <c r="G158" s="1989"/>
      <c r="H158" s="1988">
        <f t="shared" si="46"/>
        <v>163.09476941737836</v>
      </c>
      <c r="I158" s="1989"/>
      <c r="J158" s="1941">
        <f t="shared" si="42"/>
        <v>16.309476941737834</v>
      </c>
      <c r="K158" s="1950"/>
      <c r="L158" s="1981">
        <f>L118</f>
        <v>4</v>
      </c>
      <c r="M158" s="1982"/>
      <c r="N158" s="650">
        <f>N118</f>
        <v>0.12</v>
      </c>
      <c r="O158" s="655">
        <f>O118</f>
        <v>10.7</v>
      </c>
      <c r="P158" s="1974">
        <f t="shared" si="48"/>
        <v>42.8</v>
      </c>
      <c r="Q158" s="1975"/>
      <c r="R158" s="1972">
        <f t="shared" ref="R158:R170" si="63">P158+$P$183+$P$182+$P$181</f>
        <v>140.30000000000001</v>
      </c>
      <c r="S158" s="1973"/>
      <c r="T158" s="671">
        <f t="shared" si="25"/>
        <v>1</v>
      </c>
      <c r="U158" s="671">
        <f t="shared" ref="U158:AA158" si="64">U118</f>
        <v>3</v>
      </c>
      <c r="V158" s="671">
        <f t="shared" si="64"/>
        <v>0</v>
      </c>
      <c r="W158" s="671">
        <f t="shared" si="64"/>
        <v>2</v>
      </c>
      <c r="X158" s="671">
        <f t="shared" si="64"/>
        <v>0</v>
      </c>
      <c r="Y158" s="671">
        <f t="shared" si="64"/>
        <v>1.5</v>
      </c>
      <c r="Z158" s="671">
        <f t="shared" si="64"/>
        <v>0</v>
      </c>
      <c r="AA158" s="671">
        <f t="shared" si="64"/>
        <v>1</v>
      </c>
      <c r="AB158" s="1961">
        <f t="shared" si="44"/>
        <v>2.16</v>
      </c>
      <c r="AC158" s="1962"/>
      <c r="AD158" s="684">
        <f t="shared" si="29"/>
        <v>1</v>
      </c>
      <c r="AE158" s="685">
        <v>4</v>
      </c>
      <c r="AF158" s="684">
        <v>1</v>
      </c>
      <c r="AG158" s="684">
        <f t="shared" ref="AG158:AI158" si="65">AG118</f>
        <v>0.5</v>
      </c>
      <c r="AH158" s="684">
        <v>1</v>
      </c>
      <c r="AI158" s="684">
        <f t="shared" si="65"/>
        <v>3</v>
      </c>
      <c r="AJ158" s="1945">
        <f t="shared" si="35"/>
        <v>513.33749999999986</v>
      </c>
      <c r="AK158" s="1946"/>
      <c r="AL158" s="1951">
        <f t="shared" si="36"/>
        <v>515.49749999999983</v>
      </c>
      <c r="AM158" s="1952"/>
      <c r="AN158" s="1941">
        <f t="shared" si="37"/>
        <v>655.7974999999999</v>
      </c>
      <c r="AO158" s="1942"/>
    </row>
    <row r="159" spans="1:41">
      <c r="A159" s="1377"/>
      <c r="B159" s="1802"/>
      <c r="C159" s="1276" t="s">
        <v>804</v>
      </c>
      <c r="D159" s="1983">
        <f t="shared" si="40"/>
        <v>6</v>
      </c>
      <c r="E159" s="1985"/>
      <c r="F159" s="1983">
        <f t="shared" si="41"/>
        <v>661.27310788122509</v>
      </c>
      <c r="G159" s="1985"/>
      <c r="H159" s="1983">
        <f t="shared" si="46"/>
        <v>568.69487277785356</v>
      </c>
      <c r="I159" s="1985"/>
      <c r="J159" s="1941">
        <f t="shared" si="42"/>
        <v>56.869487277785353</v>
      </c>
      <c r="K159" s="1950"/>
      <c r="L159" s="1977">
        <f t="shared" ref="L159:L167" si="66">L119</f>
        <v>24</v>
      </c>
      <c r="M159" s="1978"/>
      <c r="N159" s="1163">
        <f t="shared" ref="N159:O177" si="67">N119</f>
        <v>0.33</v>
      </c>
      <c r="O159" s="660">
        <f t="shared" si="67"/>
        <v>6.5</v>
      </c>
      <c r="P159" s="1968">
        <f t="shared" si="48"/>
        <v>156</v>
      </c>
      <c r="Q159" s="1969"/>
      <c r="R159" s="1963">
        <f t="shared" si="63"/>
        <v>253.5</v>
      </c>
      <c r="S159" s="1964"/>
      <c r="T159" s="676">
        <f t="shared" si="25"/>
        <v>1</v>
      </c>
      <c r="U159" s="676">
        <f t="shared" ref="U159:AA177" si="68">U119</f>
        <v>3</v>
      </c>
      <c r="V159" s="676">
        <f t="shared" si="68"/>
        <v>0</v>
      </c>
      <c r="W159" s="676">
        <f t="shared" si="68"/>
        <v>2</v>
      </c>
      <c r="X159" s="676">
        <f t="shared" si="68"/>
        <v>0</v>
      </c>
      <c r="Y159" s="676">
        <f t="shared" si="68"/>
        <v>1.5</v>
      </c>
      <c r="Z159" s="676">
        <f t="shared" si="68"/>
        <v>0</v>
      </c>
      <c r="AA159" s="676">
        <f t="shared" si="68"/>
        <v>1</v>
      </c>
      <c r="AB159" s="1955">
        <f t="shared" si="44"/>
        <v>16.335000000000001</v>
      </c>
      <c r="AC159" s="1956"/>
      <c r="AD159" s="688">
        <f t="shared" si="29"/>
        <v>1</v>
      </c>
      <c r="AE159" s="689">
        <v>4</v>
      </c>
      <c r="AF159" s="688">
        <v>1</v>
      </c>
      <c r="AG159" s="688">
        <f t="shared" ref="AG159:AI177" si="69">AG119</f>
        <v>0.5</v>
      </c>
      <c r="AH159" s="688">
        <v>1</v>
      </c>
      <c r="AI159" s="688">
        <f t="shared" si="69"/>
        <v>3</v>
      </c>
      <c r="AJ159" s="1945">
        <f t="shared" si="35"/>
        <v>513.33749999999986</v>
      </c>
      <c r="AK159" s="1946"/>
      <c r="AL159" s="1941">
        <f t="shared" si="36"/>
        <v>529.6724999999999</v>
      </c>
      <c r="AM159" s="1942"/>
      <c r="AN159" s="1941">
        <f t="shared" si="37"/>
        <v>783.1724999999999</v>
      </c>
      <c r="AO159" s="1942"/>
    </row>
    <row r="160" spans="1:41">
      <c r="A160" s="1377"/>
      <c r="B160" s="1802"/>
      <c r="C160" s="1276" t="s">
        <v>22</v>
      </c>
      <c r="D160" s="1983">
        <f t="shared" si="40"/>
        <v>0</v>
      </c>
      <c r="E160" s="1985"/>
      <c r="F160" s="1983">
        <f t="shared" si="41"/>
        <v>15.575687433771465</v>
      </c>
      <c r="G160" s="1985"/>
      <c r="H160" s="1983">
        <f t="shared" si="46"/>
        <v>13.395091193043459</v>
      </c>
      <c r="I160" s="1985"/>
      <c r="J160" s="1941">
        <f t="shared" si="42"/>
        <v>1.339509119304346</v>
      </c>
      <c r="K160" s="1950"/>
      <c r="L160" s="1977">
        <f t="shared" si="66"/>
        <v>2</v>
      </c>
      <c r="M160" s="1978"/>
      <c r="N160" s="1163">
        <f t="shared" si="67"/>
        <v>0.08</v>
      </c>
      <c r="O160" s="660">
        <f t="shared" si="67"/>
        <v>5.7</v>
      </c>
      <c r="P160" s="1968">
        <f t="shared" si="48"/>
        <v>11.4</v>
      </c>
      <c r="Q160" s="1969"/>
      <c r="R160" s="1963">
        <f t="shared" si="63"/>
        <v>108.9</v>
      </c>
      <c r="S160" s="1964"/>
      <c r="T160" s="676">
        <f t="shared" si="25"/>
        <v>0</v>
      </c>
      <c r="U160" s="676">
        <f t="shared" si="68"/>
        <v>3</v>
      </c>
      <c r="V160" s="676">
        <f t="shared" si="68"/>
        <v>0</v>
      </c>
      <c r="W160" s="676">
        <f t="shared" si="68"/>
        <v>2</v>
      </c>
      <c r="X160" s="676">
        <f t="shared" si="68"/>
        <v>0</v>
      </c>
      <c r="Y160" s="676">
        <f t="shared" si="68"/>
        <v>1.5</v>
      </c>
      <c r="Z160" s="676">
        <f t="shared" si="68"/>
        <v>0</v>
      </c>
      <c r="AA160" s="676">
        <f t="shared" si="68"/>
        <v>1</v>
      </c>
      <c r="AB160" s="1955">
        <f t="shared" si="44"/>
        <v>0</v>
      </c>
      <c r="AC160" s="1956"/>
      <c r="AD160" s="688">
        <f t="shared" si="29"/>
        <v>0</v>
      </c>
      <c r="AE160" s="689">
        <v>4</v>
      </c>
      <c r="AF160" s="688">
        <v>0</v>
      </c>
      <c r="AG160" s="688">
        <f t="shared" si="69"/>
        <v>0.5</v>
      </c>
      <c r="AH160" s="688">
        <v>0</v>
      </c>
      <c r="AI160" s="688">
        <f t="shared" si="69"/>
        <v>3</v>
      </c>
      <c r="AJ160" s="1945">
        <f t="shared" si="35"/>
        <v>0</v>
      </c>
      <c r="AK160" s="1946"/>
      <c r="AL160" s="1941">
        <f t="shared" si="36"/>
        <v>0</v>
      </c>
      <c r="AM160" s="1942"/>
      <c r="AN160" s="1941">
        <f t="shared" si="37"/>
        <v>108.9</v>
      </c>
      <c r="AO160" s="1942"/>
    </row>
    <row r="161" spans="1:42">
      <c r="A161" s="1377"/>
      <c r="B161" s="1802"/>
      <c r="C161" s="1276" t="s">
        <v>803</v>
      </c>
      <c r="D161" s="1983">
        <f t="shared" si="40"/>
        <v>1</v>
      </c>
      <c r="E161" s="1985"/>
      <c r="F161" s="1983">
        <f t="shared" si="41"/>
        <v>40.459054858726347</v>
      </c>
      <c r="G161" s="1985"/>
      <c r="H161" s="1983">
        <f t="shared" si="46"/>
        <v>34.794787178504656</v>
      </c>
      <c r="I161" s="1985"/>
      <c r="J161" s="1941">
        <f t="shared" si="42"/>
        <v>3.4794787178504656</v>
      </c>
      <c r="K161" s="1950"/>
      <c r="L161" s="1977">
        <f t="shared" si="66"/>
        <v>2</v>
      </c>
      <c r="M161" s="1978"/>
      <c r="N161" s="1163">
        <f t="shared" si="67"/>
        <v>0.08</v>
      </c>
      <c r="O161" s="660">
        <f t="shared" si="67"/>
        <v>5.2</v>
      </c>
      <c r="P161" s="1968">
        <f t="shared" si="48"/>
        <v>10.4</v>
      </c>
      <c r="Q161" s="1969"/>
      <c r="R161" s="1963">
        <f t="shared" si="63"/>
        <v>107.9</v>
      </c>
      <c r="S161" s="1964"/>
      <c r="T161" s="676">
        <f t="shared" si="25"/>
        <v>1</v>
      </c>
      <c r="U161" s="676">
        <f t="shared" si="68"/>
        <v>3</v>
      </c>
      <c r="V161" s="676">
        <f t="shared" si="68"/>
        <v>0</v>
      </c>
      <c r="W161" s="676">
        <f t="shared" si="68"/>
        <v>2</v>
      </c>
      <c r="X161" s="676">
        <f t="shared" si="68"/>
        <v>1</v>
      </c>
      <c r="Y161" s="676">
        <f t="shared" si="68"/>
        <v>1.5</v>
      </c>
      <c r="Z161" s="676">
        <f t="shared" si="68"/>
        <v>0</v>
      </c>
      <c r="AA161" s="676">
        <f t="shared" si="68"/>
        <v>1</v>
      </c>
      <c r="AB161" s="1955">
        <f t="shared" si="44"/>
        <v>1.44</v>
      </c>
      <c r="AC161" s="1956"/>
      <c r="AD161" s="688">
        <f t="shared" si="29"/>
        <v>1</v>
      </c>
      <c r="AE161" s="689">
        <v>4</v>
      </c>
      <c r="AF161" s="688">
        <v>0</v>
      </c>
      <c r="AG161" s="688">
        <f t="shared" si="69"/>
        <v>0.5</v>
      </c>
      <c r="AH161" s="688">
        <v>0</v>
      </c>
      <c r="AI161" s="688">
        <f t="shared" si="69"/>
        <v>3</v>
      </c>
      <c r="AJ161" s="1945">
        <f t="shared" si="35"/>
        <v>273.77999999999997</v>
      </c>
      <c r="AK161" s="1946"/>
      <c r="AL161" s="1941">
        <f t="shared" si="36"/>
        <v>275.21999999999997</v>
      </c>
      <c r="AM161" s="1942"/>
      <c r="AN161" s="1941">
        <f t="shared" si="37"/>
        <v>383.12</v>
      </c>
      <c r="AO161" s="1942"/>
    </row>
    <row r="162" spans="1:42">
      <c r="A162" s="1377"/>
      <c r="B162" s="1802"/>
      <c r="C162" s="1276" t="s">
        <v>802</v>
      </c>
      <c r="D162" s="1983">
        <f t="shared" si="40"/>
        <v>1</v>
      </c>
      <c r="E162" s="1985"/>
      <c r="F162" s="1983">
        <f t="shared" si="41"/>
        <v>92.665272503264504</v>
      </c>
      <c r="G162" s="1985"/>
      <c r="H162" s="1983">
        <f t="shared" si="46"/>
        <v>79.692134352807471</v>
      </c>
      <c r="I162" s="1985"/>
      <c r="J162" s="1941">
        <f t="shared" si="42"/>
        <v>7.9692134352807473</v>
      </c>
      <c r="K162" s="1950"/>
      <c r="L162" s="1977">
        <f t="shared" si="66"/>
        <v>2</v>
      </c>
      <c r="M162" s="1978"/>
      <c r="N162" s="1163">
        <f t="shared" si="67"/>
        <v>0.08</v>
      </c>
      <c r="O162" s="660">
        <f t="shared" si="67"/>
        <v>6.24</v>
      </c>
      <c r="P162" s="1968">
        <f t="shared" si="48"/>
        <v>12.48</v>
      </c>
      <c r="Q162" s="1969"/>
      <c r="R162" s="1963">
        <f t="shared" si="63"/>
        <v>109.98</v>
      </c>
      <c r="S162" s="1964"/>
      <c r="T162" s="676">
        <f t="shared" si="25"/>
        <v>1</v>
      </c>
      <c r="U162" s="676">
        <f t="shared" si="68"/>
        <v>3</v>
      </c>
      <c r="V162" s="676">
        <f t="shared" si="68"/>
        <v>0</v>
      </c>
      <c r="W162" s="676">
        <f t="shared" si="68"/>
        <v>2</v>
      </c>
      <c r="X162" s="676">
        <f t="shared" si="68"/>
        <v>0</v>
      </c>
      <c r="Y162" s="676">
        <f t="shared" si="68"/>
        <v>1.5</v>
      </c>
      <c r="Z162" s="676">
        <f t="shared" si="68"/>
        <v>0</v>
      </c>
      <c r="AA162" s="676">
        <f t="shared" si="68"/>
        <v>1</v>
      </c>
      <c r="AB162" s="1955">
        <f t="shared" si="44"/>
        <v>0.96000000000000019</v>
      </c>
      <c r="AC162" s="1956"/>
      <c r="AD162" s="688">
        <f t="shared" si="29"/>
        <v>1</v>
      </c>
      <c r="AE162" s="689">
        <v>4</v>
      </c>
      <c r="AF162" s="688">
        <v>1</v>
      </c>
      <c r="AG162" s="688">
        <f t="shared" si="69"/>
        <v>0.5</v>
      </c>
      <c r="AH162" s="688">
        <v>1</v>
      </c>
      <c r="AI162" s="688">
        <f t="shared" si="69"/>
        <v>3</v>
      </c>
      <c r="AJ162" s="1945">
        <f t="shared" si="35"/>
        <v>513.33749999999986</v>
      </c>
      <c r="AK162" s="1946"/>
      <c r="AL162" s="1941">
        <f t="shared" si="36"/>
        <v>514.2974999999999</v>
      </c>
      <c r="AM162" s="1942"/>
      <c r="AN162" s="1941">
        <f t="shared" si="37"/>
        <v>624.27749999999992</v>
      </c>
      <c r="AO162" s="1942"/>
    </row>
    <row r="163" spans="1:42">
      <c r="A163" s="1377"/>
      <c r="B163" s="1802"/>
      <c r="C163" s="1276" t="s">
        <v>587</v>
      </c>
      <c r="D163" s="1983">
        <f t="shared" si="40"/>
        <v>1</v>
      </c>
      <c r="E163" s="1985"/>
      <c r="F163" s="1983">
        <f t="shared" si="41"/>
        <v>106.15547286231184</v>
      </c>
      <c r="G163" s="1985"/>
      <c r="H163" s="1983">
        <f t="shared" si="46"/>
        <v>91.293706661588175</v>
      </c>
      <c r="I163" s="1985"/>
      <c r="J163" s="1941">
        <f t="shared" si="42"/>
        <v>9.1293706661588168</v>
      </c>
      <c r="K163" s="1950"/>
      <c r="L163" s="1977">
        <f t="shared" si="66"/>
        <v>2</v>
      </c>
      <c r="M163" s="1978"/>
      <c r="N163" s="1163">
        <f t="shared" si="67"/>
        <v>0.08</v>
      </c>
      <c r="O163" s="660">
        <f t="shared" si="67"/>
        <v>8</v>
      </c>
      <c r="P163" s="1968">
        <f t="shared" si="48"/>
        <v>16</v>
      </c>
      <c r="Q163" s="1969"/>
      <c r="R163" s="1963">
        <f t="shared" si="63"/>
        <v>113.5</v>
      </c>
      <c r="S163" s="1964"/>
      <c r="T163" s="676">
        <f t="shared" si="25"/>
        <v>1</v>
      </c>
      <c r="U163" s="676">
        <f t="shared" si="68"/>
        <v>3</v>
      </c>
      <c r="V163" s="676">
        <f t="shared" si="68"/>
        <v>0</v>
      </c>
      <c r="W163" s="676">
        <f t="shared" si="68"/>
        <v>2</v>
      </c>
      <c r="X163" s="676">
        <f t="shared" si="68"/>
        <v>0</v>
      </c>
      <c r="Y163" s="676">
        <f t="shared" si="68"/>
        <v>1.5</v>
      </c>
      <c r="Z163" s="676">
        <f t="shared" si="68"/>
        <v>0</v>
      </c>
      <c r="AA163" s="676">
        <f t="shared" si="68"/>
        <v>1</v>
      </c>
      <c r="AB163" s="1955">
        <f t="shared" si="44"/>
        <v>0.96000000000000019</v>
      </c>
      <c r="AC163" s="1956"/>
      <c r="AD163" s="688">
        <f t="shared" si="29"/>
        <v>1</v>
      </c>
      <c r="AE163" s="689">
        <v>4</v>
      </c>
      <c r="AF163" s="688">
        <v>1</v>
      </c>
      <c r="AG163" s="688">
        <f t="shared" si="69"/>
        <v>0.5</v>
      </c>
      <c r="AH163" s="688">
        <v>1</v>
      </c>
      <c r="AI163" s="688">
        <f t="shared" si="69"/>
        <v>3</v>
      </c>
      <c r="AJ163" s="1945">
        <f t="shared" si="35"/>
        <v>513.33749999999986</v>
      </c>
      <c r="AK163" s="1946"/>
      <c r="AL163" s="1941">
        <f t="shared" si="36"/>
        <v>514.2974999999999</v>
      </c>
      <c r="AM163" s="1942"/>
      <c r="AN163" s="1941">
        <f t="shared" si="37"/>
        <v>627.7974999999999</v>
      </c>
      <c r="AO163" s="1942"/>
    </row>
    <row r="164" spans="1:42">
      <c r="A164" s="1377"/>
      <c r="B164" s="1802"/>
      <c r="C164" s="1276" t="s">
        <v>20</v>
      </c>
      <c r="D164" s="1983">
        <f t="shared" si="40"/>
        <v>2</v>
      </c>
      <c r="E164" s="1985"/>
      <c r="F164" s="1983">
        <f t="shared" si="41"/>
        <v>185.04049876087237</v>
      </c>
      <c r="G164" s="1985"/>
      <c r="H164" s="1983">
        <f t="shared" si="46"/>
        <v>159.13482893435022</v>
      </c>
      <c r="I164" s="1985"/>
      <c r="J164" s="1941">
        <f t="shared" si="42"/>
        <v>15.913482893435022</v>
      </c>
      <c r="K164" s="1950"/>
      <c r="L164" s="1977">
        <f t="shared" si="66"/>
        <v>4</v>
      </c>
      <c r="M164" s="1978"/>
      <c r="N164" s="1163">
        <f t="shared" si="67"/>
        <v>0.12</v>
      </c>
      <c r="O164" s="660">
        <f t="shared" si="67"/>
        <v>5</v>
      </c>
      <c r="P164" s="1968">
        <f t="shared" si="48"/>
        <v>20</v>
      </c>
      <c r="Q164" s="1969"/>
      <c r="R164" s="1963">
        <f t="shared" si="63"/>
        <v>117.5</v>
      </c>
      <c r="S164" s="1964"/>
      <c r="T164" s="676">
        <f t="shared" si="25"/>
        <v>1</v>
      </c>
      <c r="U164" s="676">
        <f t="shared" si="68"/>
        <v>3</v>
      </c>
      <c r="V164" s="676">
        <f t="shared" si="68"/>
        <v>0</v>
      </c>
      <c r="W164" s="676">
        <f t="shared" si="68"/>
        <v>2</v>
      </c>
      <c r="X164" s="676">
        <f t="shared" si="68"/>
        <v>0</v>
      </c>
      <c r="Y164" s="676">
        <f t="shared" si="68"/>
        <v>1.5</v>
      </c>
      <c r="Z164" s="676">
        <f t="shared" si="68"/>
        <v>0</v>
      </c>
      <c r="AA164" s="676">
        <f t="shared" si="68"/>
        <v>1</v>
      </c>
      <c r="AB164" s="1955">
        <f t="shared" si="44"/>
        <v>2.16</v>
      </c>
      <c r="AC164" s="1956"/>
      <c r="AD164" s="688">
        <f t="shared" si="29"/>
        <v>1</v>
      </c>
      <c r="AE164" s="689">
        <v>4</v>
      </c>
      <c r="AF164" s="688">
        <v>1</v>
      </c>
      <c r="AG164" s="688">
        <f t="shared" si="69"/>
        <v>0.5</v>
      </c>
      <c r="AH164" s="688">
        <v>1</v>
      </c>
      <c r="AI164" s="688">
        <f t="shared" si="69"/>
        <v>3</v>
      </c>
      <c r="AJ164" s="1945">
        <f t="shared" si="35"/>
        <v>513.33749999999986</v>
      </c>
      <c r="AK164" s="1946"/>
      <c r="AL164" s="1941">
        <f t="shared" si="36"/>
        <v>515.49749999999983</v>
      </c>
      <c r="AM164" s="1942"/>
      <c r="AN164" s="1941">
        <f t="shared" si="37"/>
        <v>632.99749999999983</v>
      </c>
      <c r="AO164" s="1942"/>
    </row>
    <row r="165" spans="1:42">
      <c r="A165" s="1377"/>
      <c r="B165" s="1802"/>
      <c r="C165" s="1276" t="s">
        <v>586</v>
      </c>
      <c r="D165" s="1983">
        <f t="shared" si="40"/>
        <v>1</v>
      </c>
      <c r="E165" s="1985"/>
      <c r="F165" s="1983">
        <f t="shared" si="41"/>
        <v>98.059413412690176</v>
      </c>
      <c r="G165" s="1985"/>
      <c r="H165" s="1983">
        <f t="shared" si="46"/>
        <v>84.331095534913544</v>
      </c>
      <c r="I165" s="1985"/>
      <c r="J165" s="1941">
        <f t="shared" si="42"/>
        <v>8.433109553491354</v>
      </c>
      <c r="K165" s="1950"/>
      <c r="L165" s="1977">
        <f t="shared" si="66"/>
        <v>2</v>
      </c>
      <c r="M165" s="1978"/>
      <c r="N165" s="1163">
        <f t="shared" si="67"/>
        <v>0.08</v>
      </c>
      <c r="O165" s="660">
        <f t="shared" si="67"/>
        <v>5.5</v>
      </c>
      <c r="P165" s="1968">
        <f t="shared" si="48"/>
        <v>11</v>
      </c>
      <c r="Q165" s="1969"/>
      <c r="R165" s="1963">
        <f t="shared" si="63"/>
        <v>108.5</v>
      </c>
      <c r="S165" s="1964"/>
      <c r="T165" s="676">
        <f t="shared" si="25"/>
        <v>1</v>
      </c>
      <c r="U165" s="676">
        <f t="shared" si="68"/>
        <v>3</v>
      </c>
      <c r="V165" s="676">
        <f t="shared" si="68"/>
        <v>0</v>
      </c>
      <c r="W165" s="676">
        <f t="shared" si="68"/>
        <v>2</v>
      </c>
      <c r="X165" s="676">
        <f t="shared" si="68"/>
        <v>0</v>
      </c>
      <c r="Y165" s="676">
        <f t="shared" si="68"/>
        <v>1.5</v>
      </c>
      <c r="Z165" s="676">
        <f t="shared" si="68"/>
        <v>0</v>
      </c>
      <c r="AA165" s="676">
        <f t="shared" si="68"/>
        <v>1</v>
      </c>
      <c r="AB165" s="1955">
        <f t="shared" si="44"/>
        <v>0.96000000000000019</v>
      </c>
      <c r="AC165" s="1956"/>
      <c r="AD165" s="688">
        <f t="shared" si="29"/>
        <v>1</v>
      </c>
      <c r="AE165" s="689">
        <v>4</v>
      </c>
      <c r="AF165" s="688">
        <v>1</v>
      </c>
      <c r="AG165" s="688">
        <f t="shared" si="69"/>
        <v>0.5</v>
      </c>
      <c r="AH165" s="688">
        <v>1</v>
      </c>
      <c r="AI165" s="688">
        <f t="shared" si="69"/>
        <v>3</v>
      </c>
      <c r="AJ165" s="1945">
        <f t="shared" si="35"/>
        <v>513.33749999999986</v>
      </c>
      <c r="AK165" s="1946"/>
      <c r="AL165" s="1941">
        <f t="shared" si="36"/>
        <v>514.2974999999999</v>
      </c>
      <c r="AM165" s="1942"/>
      <c r="AN165" s="1941">
        <f t="shared" si="37"/>
        <v>622.7974999999999</v>
      </c>
      <c r="AO165" s="1942"/>
    </row>
    <row r="166" spans="1:42">
      <c r="A166" s="1377"/>
      <c r="B166" s="1802"/>
      <c r="C166" s="1276" t="s">
        <v>19</v>
      </c>
      <c r="D166" s="1983">
        <f t="shared" si="40"/>
        <v>2</v>
      </c>
      <c r="E166" s="1985"/>
      <c r="F166" s="1983">
        <f t="shared" si="41"/>
        <v>123.49439350645282</v>
      </c>
      <c r="G166" s="1985"/>
      <c r="H166" s="1983">
        <f t="shared" si="46"/>
        <v>106.20517841554943</v>
      </c>
      <c r="I166" s="1985"/>
      <c r="J166" s="1941">
        <f t="shared" si="42"/>
        <v>10.620517841554943</v>
      </c>
      <c r="K166" s="1950"/>
      <c r="L166" s="1977">
        <v>2</v>
      </c>
      <c r="M166" s="1978"/>
      <c r="N166" s="1163">
        <v>0.08</v>
      </c>
      <c r="O166" s="660">
        <f t="shared" si="67"/>
        <v>0</v>
      </c>
      <c r="P166" s="1968">
        <f t="shared" si="48"/>
        <v>0</v>
      </c>
      <c r="Q166" s="1969"/>
      <c r="R166" s="1963">
        <f t="shared" si="63"/>
        <v>97.5</v>
      </c>
      <c r="S166" s="1964"/>
      <c r="T166" s="676">
        <f t="shared" si="25"/>
        <v>1</v>
      </c>
      <c r="U166" s="676">
        <f t="shared" si="68"/>
        <v>3</v>
      </c>
      <c r="V166" s="676">
        <f t="shared" si="68"/>
        <v>0</v>
      </c>
      <c r="W166" s="676">
        <f t="shared" si="68"/>
        <v>0</v>
      </c>
      <c r="X166" s="676">
        <f t="shared" si="68"/>
        <v>0</v>
      </c>
      <c r="Y166" s="676">
        <f t="shared" si="68"/>
        <v>0</v>
      </c>
      <c r="Z166" s="676">
        <f t="shared" si="68"/>
        <v>1</v>
      </c>
      <c r="AA166" s="676">
        <f t="shared" si="68"/>
        <v>0</v>
      </c>
      <c r="AB166" s="1955">
        <f t="shared" si="44"/>
        <v>0.96000000000000019</v>
      </c>
      <c r="AC166" s="1956"/>
      <c r="AD166" s="688">
        <f t="shared" si="29"/>
        <v>1</v>
      </c>
      <c r="AE166" s="695">
        <v>4</v>
      </c>
      <c r="AF166" s="694">
        <v>1</v>
      </c>
      <c r="AG166" s="688">
        <f t="shared" si="69"/>
        <v>0.5</v>
      </c>
      <c r="AH166" s="694">
        <v>1</v>
      </c>
      <c r="AI166" s="688">
        <f t="shared" si="69"/>
        <v>3</v>
      </c>
      <c r="AJ166" s="1945">
        <f t="shared" si="35"/>
        <v>513.33749999999986</v>
      </c>
      <c r="AK166" s="1946"/>
      <c r="AL166" s="1941">
        <f t="shared" si="36"/>
        <v>514.2974999999999</v>
      </c>
      <c r="AM166" s="1942"/>
      <c r="AN166" s="1941">
        <f t="shared" si="37"/>
        <v>611.7974999999999</v>
      </c>
      <c r="AO166" s="1942"/>
    </row>
    <row r="167" spans="1:42">
      <c r="A167" s="1377"/>
      <c r="B167" s="1802"/>
      <c r="C167" s="1276" t="s">
        <v>588</v>
      </c>
      <c r="D167" s="1986">
        <f t="shared" si="40"/>
        <v>0</v>
      </c>
      <c r="E167" s="1987"/>
      <c r="F167" s="1986">
        <f t="shared" si="41"/>
        <v>40.853632563201316</v>
      </c>
      <c r="G167" s="1987"/>
      <c r="H167" s="1986">
        <f t="shared" si="46"/>
        <v>35.134124004353133</v>
      </c>
      <c r="I167" s="1987"/>
      <c r="J167" s="1941">
        <f t="shared" si="42"/>
        <v>3.5134124004353131</v>
      </c>
      <c r="K167" s="1950"/>
      <c r="L167" s="1979">
        <f t="shared" si="66"/>
        <v>2</v>
      </c>
      <c r="M167" s="1980"/>
      <c r="N167" s="1164">
        <f t="shared" si="67"/>
        <v>0.08</v>
      </c>
      <c r="O167" s="660">
        <f t="shared" si="67"/>
        <v>3</v>
      </c>
      <c r="P167" s="1970">
        <f t="shared" si="48"/>
        <v>6</v>
      </c>
      <c r="Q167" s="1971"/>
      <c r="R167" s="1965">
        <f t="shared" si="63"/>
        <v>103.5</v>
      </c>
      <c r="S167" s="1966"/>
      <c r="T167" s="681">
        <f t="shared" si="25"/>
        <v>1</v>
      </c>
      <c r="U167" s="681">
        <f t="shared" si="68"/>
        <v>3</v>
      </c>
      <c r="V167" s="681">
        <f t="shared" si="68"/>
        <v>0</v>
      </c>
      <c r="W167" s="681">
        <f t="shared" si="68"/>
        <v>0</v>
      </c>
      <c r="X167" s="681">
        <f t="shared" si="68"/>
        <v>0</v>
      </c>
      <c r="Y167" s="681">
        <f t="shared" si="68"/>
        <v>0</v>
      </c>
      <c r="Z167" s="681">
        <f t="shared" si="68"/>
        <v>0</v>
      </c>
      <c r="AA167" s="681">
        <f t="shared" si="68"/>
        <v>0</v>
      </c>
      <c r="AB167" s="1957">
        <f t="shared" si="44"/>
        <v>0.96000000000000019</v>
      </c>
      <c r="AC167" s="1958"/>
      <c r="AD167" s="692">
        <f t="shared" si="29"/>
        <v>1</v>
      </c>
      <c r="AE167" s="695">
        <v>4</v>
      </c>
      <c r="AF167" s="694">
        <v>0</v>
      </c>
      <c r="AG167" s="692">
        <f t="shared" si="69"/>
        <v>0.5</v>
      </c>
      <c r="AH167" s="694">
        <v>0</v>
      </c>
      <c r="AI167" s="692">
        <f t="shared" si="69"/>
        <v>3</v>
      </c>
      <c r="AJ167" s="1945">
        <f t="shared" si="35"/>
        <v>273.77999999999997</v>
      </c>
      <c r="AK167" s="1946"/>
      <c r="AL167" s="1943">
        <f t="shared" si="36"/>
        <v>274.73999999999995</v>
      </c>
      <c r="AM167" s="1944"/>
      <c r="AN167" s="1941">
        <f t="shared" si="37"/>
        <v>378.23999999999995</v>
      </c>
      <c r="AO167" s="1942"/>
    </row>
    <row r="168" spans="1:42">
      <c r="A168" s="1377"/>
      <c r="B168" s="1803" t="s">
        <v>810</v>
      </c>
      <c r="C168" s="1275" t="s">
        <v>9</v>
      </c>
      <c r="D168" s="1988">
        <f t="shared" si="40"/>
        <v>2</v>
      </c>
      <c r="E168" s="1989"/>
      <c r="F168" s="1988">
        <f t="shared" si="41"/>
        <v>187.75891257232706</v>
      </c>
      <c r="G168" s="1989"/>
      <c r="H168" s="1983">
        <f t="shared" si="46"/>
        <v>161.47266481220126</v>
      </c>
      <c r="I168" s="1984"/>
      <c r="J168" s="1951">
        <f t="shared" si="42"/>
        <v>16.147266481220125</v>
      </c>
      <c r="K168" s="1952"/>
      <c r="L168" s="1981">
        <f>L128</f>
        <v>4</v>
      </c>
      <c r="M168" s="1982"/>
      <c r="N168" s="653">
        <f t="shared" si="67"/>
        <v>0.12</v>
      </c>
      <c r="O168" s="655">
        <f t="shared" si="67"/>
        <v>10.7</v>
      </c>
      <c r="P168" s="1968">
        <f t="shared" si="48"/>
        <v>42.8</v>
      </c>
      <c r="Q168" s="1976"/>
      <c r="R168" s="1963">
        <f t="shared" si="63"/>
        <v>140.30000000000001</v>
      </c>
      <c r="S168" s="1967"/>
      <c r="T168" s="671">
        <f t="shared" si="25"/>
        <v>1</v>
      </c>
      <c r="U168" s="676">
        <f t="shared" si="68"/>
        <v>3</v>
      </c>
      <c r="V168" s="676">
        <f t="shared" si="68"/>
        <v>0</v>
      </c>
      <c r="W168" s="676">
        <f t="shared" si="68"/>
        <v>2</v>
      </c>
      <c r="X168" s="676">
        <f t="shared" si="68"/>
        <v>0</v>
      </c>
      <c r="Y168" s="676">
        <f t="shared" si="68"/>
        <v>1.5</v>
      </c>
      <c r="Z168" s="676">
        <f t="shared" si="68"/>
        <v>0</v>
      </c>
      <c r="AA168" s="676">
        <f t="shared" si="68"/>
        <v>1</v>
      </c>
      <c r="AB168" s="1955">
        <f t="shared" si="44"/>
        <v>2.16</v>
      </c>
      <c r="AC168" s="1956"/>
      <c r="AD168" s="684">
        <f t="shared" si="29"/>
        <v>1</v>
      </c>
      <c r="AE168" s="685">
        <v>4</v>
      </c>
      <c r="AF168" s="684">
        <v>1</v>
      </c>
      <c r="AG168" s="690">
        <f t="shared" si="69"/>
        <v>0.5</v>
      </c>
      <c r="AH168" s="684">
        <v>1</v>
      </c>
      <c r="AI168" s="690">
        <f t="shared" si="69"/>
        <v>3</v>
      </c>
      <c r="AJ168" s="1947">
        <f t="shared" si="35"/>
        <v>513.33749999999986</v>
      </c>
      <c r="AK168" s="1948"/>
      <c r="AL168" s="1941">
        <f t="shared" si="36"/>
        <v>515.49749999999983</v>
      </c>
      <c r="AM168" s="1950"/>
      <c r="AN168" s="1951">
        <f t="shared" si="37"/>
        <v>655.7974999999999</v>
      </c>
      <c r="AO168" s="1952"/>
    </row>
    <row r="169" spans="1:42" ht="19">
      <c r="A169" s="1377"/>
      <c r="B169" s="1803"/>
      <c r="C169" s="1276" t="s">
        <v>804</v>
      </c>
      <c r="D169" s="1983">
        <f t="shared" si="40"/>
        <v>6</v>
      </c>
      <c r="E169" s="1985"/>
      <c r="F169" s="1983">
        <f t="shared" si="41"/>
        <v>657.9143798096942</v>
      </c>
      <c r="G169" s="1985"/>
      <c r="H169" s="1983">
        <f t="shared" si="46"/>
        <v>565.80636663633697</v>
      </c>
      <c r="I169" s="1984"/>
      <c r="J169" s="1941">
        <f t="shared" si="42"/>
        <v>56.580636663633697</v>
      </c>
      <c r="K169" s="1942"/>
      <c r="L169" s="1977">
        <f>L129</f>
        <v>24</v>
      </c>
      <c r="M169" s="1978"/>
      <c r="N169" s="653">
        <f t="shared" si="67"/>
        <v>0.33</v>
      </c>
      <c r="O169" s="660">
        <f t="shared" si="67"/>
        <v>6.5</v>
      </c>
      <c r="P169" s="1968">
        <f t="shared" si="48"/>
        <v>156</v>
      </c>
      <c r="Q169" s="1976"/>
      <c r="R169" s="1963">
        <f t="shared" si="63"/>
        <v>253.5</v>
      </c>
      <c r="S169" s="1967"/>
      <c r="T169" s="676">
        <f t="shared" si="25"/>
        <v>1</v>
      </c>
      <c r="U169" s="676">
        <f t="shared" si="68"/>
        <v>3</v>
      </c>
      <c r="V169" s="676">
        <f t="shared" si="68"/>
        <v>0</v>
      </c>
      <c r="W169" s="676">
        <f t="shared" si="68"/>
        <v>2</v>
      </c>
      <c r="X169" s="676">
        <f t="shared" si="68"/>
        <v>0</v>
      </c>
      <c r="Y169" s="676">
        <f t="shared" si="68"/>
        <v>1.5</v>
      </c>
      <c r="Z169" s="676">
        <f t="shared" si="68"/>
        <v>0</v>
      </c>
      <c r="AA169" s="676">
        <f t="shared" si="68"/>
        <v>1</v>
      </c>
      <c r="AB169" s="1955">
        <f t="shared" si="44"/>
        <v>16.335000000000001</v>
      </c>
      <c r="AC169" s="1956"/>
      <c r="AD169" s="688">
        <f t="shared" si="29"/>
        <v>1</v>
      </c>
      <c r="AE169" s="689">
        <v>4</v>
      </c>
      <c r="AF169" s="688">
        <v>1</v>
      </c>
      <c r="AG169" s="690">
        <f t="shared" si="69"/>
        <v>0.5</v>
      </c>
      <c r="AH169" s="688">
        <v>1</v>
      </c>
      <c r="AI169" s="690">
        <f t="shared" si="69"/>
        <v>3</v>
      </c>
      <c r="AJ169" s="1945">
        <f t="shared" si="35"/>
        <v>513.33749999999986</v>
      </c>
      <c r="AK169" s="1949"/>
      <c r="AL169" s="1941">
        <f t="shared" si="36"/>
        <v>529.6724999999999</v>
      </c>
      <c r="AM169" s="1950"/>
      <c r="AN169" s="1953">
        <f t="shared" si="37"/>
        <v>783.1724999999999</v>
      </c>
      <c r="AO169" s="1954"/>
      <c r="AP169" s="669" t="s">
        <v>798</v>
      </c>
    </row>
    <row r="170" spans="1:42">
      <c r="A170" s="1377"/>
      <c r="B170" s="1803"/>
      <c r="C170" s="1276" t="s">
        <v>22</v>
      </c>
      <c r="D170" s="1983">
        <f t="shared" si="40"/>
        <v>0</v>
      </c>
      <c r="E170" s="1985"/>
      <c r="F170" s="1983">
        <f t="shared" si="41"/>
        <v>15.575687433771465</v>
      </c>
      <c r="G170" s="1985"/>
      <c r="H170" s="1983">
        <f t="shared" si="46"/>
        <v>13.395091193043459</v>
      </c>
      <c r="I170" s="1984"/>
      <c r="J170" s="1941">
        <f t="shared" si="42"/>
        <v>1.339509119304346</v>
      </c>
      <c r="K170" s="1942"/>
      <c r="L170" s="1977">
        <f>L130</f>
        <v>2</v>
      </c>
      <c r="M170" s="1978"/>
      <c r="N170" s="653">
        <f t="shared" si="67"/>
        <v>0.08</v>
      </c>
      <c r="O170" s="660">
        <f t="shared" si="67"/>
        <v>5.7</v>
      </c>
      <c r="P170" s="1968">
        <f t="shared" si="48"/>
        <v>11.4</v>
      </c>
      <c r="Q170" s="1976"/>
      <c r="R170" s="1963">
        <f t="shared" si="63"/>
        <v>108.9</v>
      </c>
      <c r="S170" s="1967"/>
      <c r="T170" s="676">
        <f t="shared" si="25"/>
        <v>0</v>
      </c>
      <c r="U170" s="676">
        <f t="shared" si="68"/>
        <v>3</v>
      </c>
      <c r="V170" s="676">
        <f t="shared" si="68"/>
        <v>0</v>
      </c>
      <c r="W170" s="676">
        <f t="shared" si="68"/>
        <v>2</v>
      </c>
      <c r="X170" s="676">
        <f t="shared" si="68"/>
        <v>0</v>
      </c>
      <c r="Y170" s="676">
        <f t="shared" si="68"/>
        <v>1.5</v>
      </c>
      <c r="Z170" s="676">
        <f t="shared" si="68"/>
        <v>0</v>
      </c>
      <c r="AA170" s="676">
        <f t="shared" si="68"/>
        <v>1</v>
      </c>
      <c r="AB170" s="1955">
        <f t="shared" si="44"/>
        <v>0</v>
      </c>
      <c r="AC170" s="1956"/>
      <c r="AD170" s="688">
        <f t="shared" si="29"/>
        <v>0</v>
      </c>
      <c r="AE170" s="689">
        <v>4</v>
      </c>
      <c r="AF170" s="688">
        <v>0</v>
      </c>
      <c r="AG170" s="690">
        <f t="shared" si="69"/>
        <v>0.5</v>
      </c>
      <c r="AH170" s="688">
        <v>0</v>
      </c>
      <c r="AI170" s="690">
        <f t="shared" si="69"/>
        <v>3</v>
      </c>
      <c r="AJ170" s="1945">
        <f t="shared" si="35"/>
        <v>0</v>
      </c>
      <c r="AK170" s="1949"/>
      <c r="AL170" s="1941">
        <f t="shared" si="36"/>
        <v>0</v>
      </c>
      <c r="AM170" s="1950"/>
      <c r="AN170" s="1941">
        <f t="shared" si="37"/>
        <v>108.9</v>
      </c>
      <c r="AO170" s="1942"/>
    </row>
    <row r="171" spans="1:42">
      <c r="A171" s="1377"/>
      <c r="B171" s="1803"/>
      <c r="C171" s="1276" t="s">
        <v>803</v>
      </c>
      <c r="D171" s="1983">
        <f t="shared" si="40"/>
        <v>1</v>
      </c>
      <c r="E171" s="1985"/>
      <c r="F171" s="1983">
        <f t="shared" si="41"/>
        <v>35.080687091425588</v>
      </c>
      <c r="G171" s="1985"/>
      <c r="H171" s="1983">
        <f>F171*0.86</f>
        <v>30.169390898626006</v>
      </c>
      <c r="I171" s="1984"/>
      <c r="J171" s="1941">
        <f t="shared" si="10"/>
        <v>3.0169390898626007</v>
      </c>
      <c r="K171" s="1942"/>
      <c r="L171" s="1977">
        <f>L131</f>
        <v>2</v>
      </c>
      <c r="M171" s="1978"/>
      <c r="N171" s="653">
        <f t="shared" si="67"/>
        <v>0.08</v>
      </c>
      <c r="O171" s="660">
        <f t="shared" si="67"/>
        <v>5.2</v>
      </c>
      <c r="P171" s="1968">
        <f>L171*O171</f>
        <v>10.4</v>
      </c>
      <c r="Q171" s="1976"/>
      <c r="R171" s="1963">
        <f t="shared" ref="R171:R176" si="70">P171+$P$183+$P$182+$P$181</f>
        <v>107.9</v>
      </c>
      <c r="S171" s="1967"/>
      <c r="T171" s="676">
        <f t="shared" si="25"/>
        <v>1</v>
      </c>
      <c r="U171" s="676">
        <f t="shared" si="68"/>
        <v>3</v>
      </c>
      <c r="V171" s="676">
        <f t="shared" si="68"/>
        <v>0</v>
      </c>
      <c r="W171" s="676">
        <f t="shared" si="68"/>
        <v>2</v>
      </c>
      <c r="X171" s="676">
        <f t="shared" si="68"/>
        <v>1</v>
      </c>
      <c r="Y171" s="676">
        <f t="shared" si="68"/>
        <v>1.5</v>
      </c>
      <c r="Z171" s="676">
        <f t="shared" si="68"/>
        <v>0</v>
      </c>
      <c r="AA171" s="676">
        <f t="shared" si="68"/>
        <v>1</v>
      </c>
      <c r="AB171" s="1955">
        <f t="shared" si="44"/>
        <v>1.44</v>
      </c>
      <c r="AC171" s="1956"/>
      <c r="AD171" s="688">
        <f t="shared" si="29"/>
        <v>1</v>
      </c>
      <c r="AE171" s="689">
        <v>4</v>
      </c>
      <c r="AF171" s="688">
        <v>0</v>
      </c>
      <c r="AG171" s="690">
        <f t="shared" si="69"/>
        <v>0.5</v>
      </c>
      <c r="AH171" s="688">
        <v>0</v>
      </c>
      <c r="AI171" s="690">
        <f t="shared" si="69"/>
        <v>3</v>
      </c>
      <c r="AJ171" s="1945">
        <f t="shared" ref="AJ171:AJ177" si="71">(1/2*1000*$N$183^2*SUM(AD171*AE171,AF171*AG171,AH171*AI171)/10)</f>
        <v>273.77999999999997</v>
      </c>
      <c r="AK171" s="1949"/>
      <c r="AL171" s="1941">
        <f t="shared" si="12"/>
        <v>275.21999999999997</v>
      </c>
      <c r="AM171" s="1950"/>
      <c r="AN171" s="1941">
        <f t="shared" si="13"/>
        <v>383.12</v>
      </c>
      <c r="AO171" s="1942"/>
    </row>
    <row r="172" spans="1:42">
      <c r="A172" s="1377"/>
      <c r="B172" s="1803"/>
      <c r="C172" s="1276" t="s">
        <v>802</v>
      </c>
      <c r="D172" s="1983">
        <f t="shared" ref="D172:D177" si="72">M63</f>
        <v>1</v>
      </c>
      <c r="E172" s="1985"/>
      <c r="F172" s="1983">
        <f t="shared" ref="F172:F177" si="73">L63</f>
        <v>92.665272503264504</v>
      </c>
      <c r="G172" s="1985"/>
      <c r="H172" s="1983">
        <f t="shared" si="9"/>
        <v>79.692134352807471</v>
      </c>
      <c r="I172" s="1984"/>
      <c r="J172" s="1941">
        <f t="shared" si="10"/>
        <v>7.9692134352807473</v>
      </c>
      <c r="K172" s="1942"/>
      <c r="L172" s="1977">
        <f t="shared" ref="L172:L177" si="74">L132</f>
        <v>2</v>
      </c>
      <c r="M172" s="1978"/>
      <c r="N172" s="653">
        <f t="shared" si="67"/>
        <v>0.08</v>
      </c>
      <c r="O172" s="660">
        <f t="shared" si="67"/>
        <v>6.24</v>
      </c>
      <c r="P172" s="1968">
        <f t="shared" si="24"/>
        <v>12.48</v>
      </c>
      <c r="Q172" s="1976"/>
      <c r="R172" s="1963">
        <f t="shared" si="70"/>
        <v>109.98</v>
      </c>
      <c r="S172" s="1967"/>
      <c r="T172" s="676">
        <f t="shared" si="25"/>
        <v>1</v>
      </c>
      <c r="U172" s="676">
        <f t="shared" si="68"/>
        <v>3</v>
      </c>
      <c r="V172" s="676">
        <f t="shared" si="68"/>
        <v>0</v>
      </c>
      <c r="W172" s="676">
        <f t="shared" si="68"/>
        <v>2</v>
      </c>
      <c r="X172" s="676">
        <f t="shared" si="68"/>
        <v>0</v>
      </c>
      <c r="Y172" s="676">
        <f t="shared" si="68"/>
        <v>1.5</v>
      </c>
      <c r="Z172" s="676">
        <f t="shared" si="68"/>
        <v>0</v>
      </c>
      <c r="AA172" s="676">
        <f t="shared" si="68"/>
        <v>1</v>
      </c>
      <c r="AB172" s="1955">
        <f t="shared" ref="AB172:AB177" si="75">(1/2*1000*N172^2*SUM(T172*U172,V172*W172,X172*Y172,Z172*AA172)/10)</f>
        <v>0.96000000000000019</v>
      </c>
      <c r="AC172" s="1956"/>
      <c r="AD172" s="688">
        <f t="shared" si="29"/>
        <v>1</v>
      </c>
      <c r="AE172" s="689">
        <v>4</v>
      </c>
      <c r="AF172" s="688">
        <v>1</v>
      </c>
      <c r="AG172" s="690">
        <f t="shared" si="69"/>
        <v>0.5</v>
      </c>
      <c r="AH172" s="688">
        <v>1</v>
      </c>
      <c r="AI172" s="690">
        <f t="shared" si="69"/>
        <v>3</v>
      </c>
      <c r="AJ172" s="1945">
        <f t="shared" si="71"/>
        <v>513.33749999999986</v>
      </c>
      <c r="AK172" s="1949"/>
      <c r="AL172" s="1941">
        <f t="shared" si="12"/>
        <v>514.2974999999999</v>
      </c>
      <c r="AM172" s="1950"/>
      <c r="AN172" s="1941">
        <f t="shared" si="13"/>
        <v>624.27749999999992</v>
      </c>
      <c r="AO172" s="1942"/>
    </row>
    <row r="173" spans="1:42">
      <c r="A173" s="1377"/>
      <c r="B173" s="1803"/>
      <c r="C173" s="1276" t="s">
        <v>587</v>
      </c>
      <c r="D173" s="1983">
        <f t="shared" si="72"/>
        <v>1</v>
      </c>
      <c r="E173" s="1985"/>
      <c r="F173" s="1983">
        <f t="shared" si="73"/>
        <v>106.15547286231184</v>
      </c>
      <c r="G173" s="1985"/>
      <c r="H173" s="1983">
        <f t="shared" si="9"/>
        <v>91.293706661588175</v>
      </c>
      <c r="I173" s="1984"/>
      <c r="J173" s="1941">
        <f t="shared" si="10"/>
        <v>9.1293706661588168</v>
      </c>
      <c r="K173" s="1942"/>
      <c r="L173" s="1977">
        <f t="shared" si="74"/>
        <v>2</v>
      </c>
      <c r="M173" s="1978"/>
      <c r="N173" s="653">
        <f t="shared" si="67"/>
        <v>0.08</v>
      </c>
      <c r="O173" s="660">
        <f t="shared" si="67"/>
        <v>8</v>
      </c>
      <c r="P173" s="1968">
        <f t="shared" si="24"/>
        <v>16</v>
      </c>
      <c r="Q173" s="1976"/>
      <c r="R173" s="1963">
        <f t="shared" si="70"/>
        <v>113.5</v>
      </c>
      <c r="S173" s="1967"/>
      <c r="T173" s="676">
        <f t="shared" si="25"/>
        <v>1</v>
      </c>
      <c r="U173" s="676">
        <f t="shared" si="68"/>
        <v>3</v>
      </c>
      <c r="V173" s="676">
        <f t="shared" si="68"/>
        <v>0</v>
      </c>
      <c r="W173" s="676">
        <f t="shared" si="68"/>
        <v>2</v>
      </c>
      <c r="X173" s="676">
        <f t="shared" si="68"/>
        <v>0</v>
      </c>
      <c r="Y173" s="676">
        <f t="shared" si="68"/>
        <v>1.5</v>
      </c>
      <c r="Z173" s="676">
        <f t="shared" si="68"/>
        <v>0</v>
      </c>
      <c r="AA173" s="676">
        <f t="shared" si="68"/>
        <v>1</v>
      </c>
      <c r="AB173" s="1955">
        <f t="shared" si="75"/>
        <v>0.96000000000000019</v>
      </c>
      <c r="AC173" s="1956"/>
      <c r="AD173" s="688">
        <f t="shared" si="29"/>
        <v>1</v>
      </c>
      <c r="AE173" s="689">
        <v>4</v>
      </c>
      <c r="AF173" s="688">
        <v>1</v>
      </c>
      <c r="AG173" s="690">
        <f t="shared" si="69"/>
        <v>0.5</v>
      </c>
      <c r="AH173" s="688">
        <v>1</v>
      </c>
      <c r="AI173" s="690">
        <f t="shared" si="69"/>
        <v>3</v>
      </c>
      <c r="AJ173" s="1945">
        <f t="shared" si="71"/>
        <v>513.33749999999986</v>
      </c>
      <c r="AK173" s="1949"/>
      <c r="AL173" s="1941">
        <f t="shared" si="12"/>
        <v>514.2974999999999</v>
      </c>
      <c r="AM173" s="1950"/>
      <c r="AN173" s="1941">
        <f t="shared" si="13"/>
        <v>627.7974999999999</v>
      </c>
      <c r="AO173" s="1942"/>
    </row>
    <row r="174" spans="1:42">
      <c r="A174" s="1377"/>
      <c r="B174" s="1803"/>
      <c r="C174" s="1276" t="s">
        <v>20</v>
      </c>
      <c r="D174" s="1983">
        <f t="shared" si="72"/>
        <v>2</v>
      </c>
      <c r="E174" s="1985"/>
      <c r="F174" s="1983">
        <f t="shared" si="73"/>
        <v>179.6114649761958</v>
      </c>
      <c r="G174" s="1985"/>
      <c r="H174" s="1983">
        <f t="shared" si="9"/>
        <v>154.46585987952838</v>
      </c>
      <c r="I174" s="1984"/>
      <c r="J174" s="1941">
        <f t="shared" si="10"/>
        <v>15.446585987952838</v>
      </c>
      <c r="K174" s="1942"/>
      <c r="L174" s="1977">
        <f t="shared" si="74"/>
        <v>4</v>
      </c>
      <c r="M174" s="1978"/>
      <c r="N174" s="653">
        <f t="shared" si="67"/>
        <v>0.12</v>
      </c>
      <c r="O174" s="660">
        <f t="shared" si="67"/>
        <v>5</v>
      </c>
      <c r="P174" s="1968">
        <f t="shared" si="24"/>
        <v>20</v>
      </c>
      <c r="Q174" s="1976"/>
      <c r="R174" s="1963">
        <f t="shared" si="70"/>
        <v>117.5</v>
      </c>
      <c r="S174" s="1967"/>
      <c r="T174" s="676">
        <f t="shared" si="25"/>
        <v>1</v>
      </c>
      <c r="U174" s="676">
        <f t="shared" si="68"/>
        <v>3</v>
      </c>
      <c r="V174" s="676">
        <f t="shared" si="68"/>
        <v>0</v>
      </c>
      <c r="W174" s="676">
        <f t="shared" si="68"/>
        <v>2</v>
      </c>
      <c r="X174" s="676">
        <f t="shared" si="68"/>
        <v>0</v>
      </c>
      <c r="Y174" s="676">
        <f t="shared" si="68"/>
        <v>1.5</v>
      </c>
      <c r="Z174" s="676">
        <f t="shared" si="68"/>
        <v>0</v>
      </c>
      <c r="AA174" s="676">
        <f t="shared" si="68"/>
        <v>1</v>
      </c>
      <c r="AB174" s="1955">
        <f t="shared" si="75"/>
        <v>2.16</v>
      </c>
      <c r="AC174" s="1956"/>
      <c r="AD174" s="688">
        <f t="shared" si="29"/>
        <v>1</v>
      </c>
      <c r="AE174" s="689">
        <v>4</v>
      </c>
      <c r="AF174" s="688">
        <v>1</v>
      </c>
      <c r="AG174" s="690">
        <f t="shared" si="69"/>
        <v>0.5</v>
      </c>
      <c r="AH174" s="688">
        <v>1</v>
      </c>
      <c r="AI174" s="690">
        <f t="shared" si="69"/>
        <v>3</v>
      </c>
      <c r="AJ174" s="1945">
        <f t="shared" si="71"/>
        <v>513.33749999999986</v>
      </c>
      <c r="AK174" s="1949"/>
      <c r="AL174" s="1941">
        <f t="shared" si="12"/>
        <v>515.49749999999983</v>
      </c>
      <c r="AM174" s="1950"/>
      <c r="AN174" s="1941">
        <f t="shared" si="13"/>
        <v>632.99749999999983</v>
      </c>
      <c r="AO174" s="1942"/>
    </row>
    <row r="175" spans="1:42">
      <c r="A175" s="1377"/>
      <c r="B175" s="1803"/>
      <c r="C175" s="1276" t="s">
        <v>586</v>
      </c>
      <c r="D175" s="1983">
        <f t="shared" si="72"/>
        <v>1</v>
      </c>
      <c r="E175" s="1985"/>
      <c r="F175" s="1983">
        <f t="shared" si="73"/>
        <v>87.319021754661463</v>
      </c>
      <c r="G175" s="1985"/>
      <c r="H175" s="1983">
        <f t="shared" si="9"/>
        <v>75.094358709008858</v>
      </c>
      <c r="I175" s="1984"/>
      <c r="J175" s="1941">
        <f t="shared" si="10"/>
        <v>7.5094358709008855</v>
      </c>
      <c r="K175" s="1942"/>
      <c r="L175" s="1977">
        <f t="shared" si="74"/>
        <v>2</v>
      </c>
      <c r="M175" s="1978"/>
      <c r="N175" s="653">
        <f t="shared" si="67"/>
        <v>0.08</v>
      </c>
      <c r="O175" s="660">
        <f t="shared" si="67"/>
        <v>5.5</v>
      </c>
      <c r="P175" s="1968">
        <f t="shared" si="24"/>
        <v>11</v>
      </c>
      <c r="Q175" s="1976"/>
      <c r="R175" s="1963">
        <f t="shared" si="70"/>
        <v>108.5</v>
      </c>
      <c r="S175" s="1967"/>
      <c r="T175" s="676">
        <f t="shared" si="25"/>
        <v>1</v>
      </c>
      <c r="U175" s="676">
        <f t="shared" si="68"/>
        <v>3</v>
      </c>
      <c r="V175" s="676">
        <f t="shared" si="68"/>
        <v>0</v>
      </c>
      <c r="W175" s="676">
        <f t="shared" si="68"/>
        <v>2</v>
      </c>
      <c r="X175" s="676">
        <f t="shared" si="68"/>
        <v>0</v>
      </c>
      <c r="Y175" s="676">
        <f t="shared" si="68"/>
        <v>1.5</v>
      </c>
      <c r="Z175" s="676">
        <f t="shared" si="68"/>
        <v>0</v>
      </c>
      <c r="AA175" s="676">
        <f t="shared" si="68"/>
        <v>1</v>
      </c>
      <c r="AB175" s="1955">
        <f t="shared" si="75"/>
        <v>0.96000000000000019</v>
      </c>
      <c r="AC175" s="1956"/>
      <c r="AD175" s="688">
        <f t="shared" si="29"/>
        <v>1</v>
      </c>
      <c r="AE175" s="689">
        <v>4</v>
      </c>
      <c r="AF175" s="688">
        <v>1</v>
      </c>
      <c r="AG175" s="690">
        <f t="shared" si="69"/>
        <v>0.5</v>
      </c>
      <c r="AH175" s="688">
        <v>1</v>
      </c>
      <c r="AI175" s="690">
        <f t="shared" si="69"/>
        <v>3</v>
      </c>
      <c r="AJ175" s="1945">
        <f t="shared" si="71"/>
        <v>513.33749999999986</v>
      </c>
      <c r="AK175" s="1949"/>
      <c r="AL175" s="1941">
        <f t="shared" si="12"/>
        <v>514.2974999999999</v>
      </c>
      <c r="AM175" s="1950"/>
      <c r="AN175" s="1941">
        <f t="shared" si="13"/>
        <v>622.7974999999999</v>
      </c>
      <c r="AO175" s="1942"/>
    </row>
    <row r="176" spans="1:42">
      <c r="A176" s="1377"/>
      <c r="B176" s="1803"/>
      <c r="C176" s="1276" t="s">
        <v>19</v>
      </c>
      <c r="D176" s="1983">
        <f t="shared" si="72"/>
        <v>2</v>
      </c>
      <c r="E176" s="1985"/>
      <c r="F176" s="1983">
        <f t="shared" si="73"/>
        <v>123.49439350645282</v>
      </c>
      <c r="G176" s="1985"/>
      <c r="H176" s="1983">
        <f t="shared" si="9"/>
        <v>106.20517841554943</v>
      </c>
      <c r="I176" s="1984"/>
      <c r="J176" s="1941">
        <f t="shared" si="10"/>
        <v>10.620517841554943</v>
      </c>
      <c r="K176" s="1942"/>
      <c r="L176" s="1977">
        <f t="shared" si="74"/>
        <v>2</v>
      </c>
      <c r="M176" s="1978"/>
      <c r="N176" s="653">
        <f t="shared" si="67"/>
        <v>0.8</v>
      </c>
      <c r="O176" s="660">
        <f t="shared" si="67"/>
        <v>0</v>
      </c>
      <c r="P176" s="1968">
        <f t="shared" si="24"/>
        <v>0</v>
      </c>
      <c r="Q176" s="1976"/>
      <c r="R176" s="1963">
        <f t="shared" si="70"/>
        <v>97.5</v>
      </c>
      <c r="S176" s="1967"/>
      <c r="T176" s="676">
        <f t="shared" si="25"/>
        <v>1</v>
      </c>
      <c r="U176" s="676">
        <f t="shared" si="68"/>
        <v>3</v>
      </c>
      <c r="V176" s="676">
        <f t="shared" si="68"/>
        <v>0</v>
      </c>
      <c r="W176" s="676">
        <f t="shared" si="68"/>
        <v>0</v>
      </c>
      <c r="X176" s="676">
        <f t="shared" si="68"/>
        <v>0</v>
      </c>
      <c r="Y176" s="676">
        <f t="shared" si="68"/>
        <v>0</v>
      </c>
      <c r="Z176" s="676">
        <f t="shared" si="68"/>
        <v>1</v>
      </c>
      <c r="AA176" s="676">
        <f t="shared" si="68"/>
        <v>0</v>
      </c>
      <c r="AB176" s="1955">
        <f t="shared" si="75"/>
        <v>96.000000000000028</v>
      </c>
      <c r="AC176" s="1956"/>
      <c r="AD176" s="688">
        <f t="shared" si="29"/>
        <v>1</v>
      </c>
      <c r="AE176" s="695">
        <v>4</v>
      </c>
      <c r="AF176" s="688">
        <v>1</v>
      </c>
      <c r="AG176" s="690">
        <f t="shared" si="69"/>
        <v>0.5</v>
      </c>
      <c r="AH176" s="688">
        <v>1</v>
      </c>
      <c r="AI176" s="690">
        <f t="shared" si="69"/>
        <v>3</v>
      </c>
      <c r="AJ176" s="1945">
        <f t="shared" si="71"/>
        <v>513.33749999999986</v>
      </c>
      <c r="AK176" s="1949"/>
      <c r="AL176" s="1941">
        <f t="shared" si="12"/>
        <v>609.33749999999986</v>
      </c>
      <c r="AM176" s="1950"/>
      <c r="AN176" s="2063">
        <f t="shared" si="13"/>
        <v>706.83749999999986</v>
      </c>
      <c r="AO176" s="2064"/>
    </row>
    <row r="177" spans="1:41">
      <c r="A177" s="1377"/>
      <c r="B177" s="1803"/>
      <c r="C177" s="1280" t="s">
        <v>588</v>
      </c>
      <c r="D177" s="1986">
        <f t="shared" si="72"/>
        <v>0</v>
      </c>
      <c r="E177" s="1987"/>
      <c r="F177" s="1986">
        <f t="shared" si="73"/>
        <v>40.853632563201316</v>
      </c>
      <c r="G177" s="1987"/>
      <c r="H177" s="1986">
        <f>F177*0.86</f>
        <v>35.134124004353133</v>
      </c>
      <c r="I177" s="2018"/>
      <c r="J177" s="1943">
        <f t="shared" si="10"/>
        <v>3.5134124004353131</v>
      </c>
      <c r="K177" s="1944"/>
      <c r="L177" s="1979">
        <f t="shared" si="74"/>
        <v>2</v>
      </c>
      <c r="M177" s="1980"/>
      <c r="N177" s="653">
        <f t="shared" si="67"/>
        <v>0.08</v>
      </c>
      <c r="O177" s="661">
        <f t="shared" si="67"/>
        <v>3</v>
      </c>
      <c r="P177" s="1970">
        <f t="shared" si="24"/>
        <v>6</v>
      </c>
      <c r="Q177" s="2019"/>
      <c r="R177" s="1965">
        <v>0</v>
      </c>
      <c r="S177" s="2024"/>
      <c r="T177" s="681">
        <f t="shared" si="25"/>
        <v>1</v>
      </c>
      <c r="U177" s="681">
        <f t="shared" si="68"/>
        <v>3</v>
      </c>
      <c r="V177" s="681">
        <f t="shared" si="68"/>
        <v>0</v>
      </c>
      <c r="W177" s="681">
        <f t="shared" si="68"/>
        <v>0</v>
      </c>
      <c r="X177" s="681">
        <f t="shared" si="68"/>
        <v>0</v>
      </c>
      <c r="Y177" s="681">
        <f t="shared" si="68"/>
        <v>0</v>
      </c>
      <c r="Z177" s="681">
        <f t="shared" si="68"/>
        <v>0</v>
      </c>
      <c r="AA177" s="681">
        <f t="shared" si="68"/>
        <v>0</v>
      </c>
      <c r="AB177" s="1957">
        <f t="shared" si="75"/>
        <v>0.96000000000000019</v>
      </c>
      <c r="AC177" s="1958"/>
      <c r="AD177" s="692">
        <f t="shared" si="29"/>
        <v>1</v>
      </c>
      <c r="AE177" s="695">
        <v>4</v>
      </c>
      <c r="AF177" s="692">
        <v>0</v>
      </c>
      <c r="AG177" s="693">
        <f t="shared" si="69"/>
        <v>0.5</v>
      </c>
      <c r="AH177" s="692">
        <v>0</v>
      </c>
      <c r="AI177" s="693">
        <f t="shared" si="69"/>
        <v>3</v>
      </c>
      <c r="AJ177" s="1959">
        <f t="shared" si="71"/>
        <v>273.77999999999997</v>
      </c>
      <c r="AK177" s="1960"/>
      <c r="AL177" s="1943">
        <f t="shared" si="12"/>
        <v>274.73999999999995</v>
      </c>
      <c r="AM177" s="2060"/>
      <c r="AN177" s="1943">
        <f t="shared" si="13"/>
        <v>274.73999999999995</v>
      </c>
      <c r="AO177" s="1944"/>
    </row>
    <row r="178" spans="1:41" ht="21">
      <c r="A178" s="515"/>
      <c r="B178" s="9"/>
      <c r="D178" s="9"/>
      <c r="F178" s="9"/>
      <c r="G178" s="9"/>
      <c r="J178" s="1950"/>
      <c r="K178" s="1976"/>
      <c r="L178" s="1162" t="s">
        <v>774</v>
      </c>
      <c r="M178" s="1162"/>
      <c r="N178" s="1162"/>
      <c r="O178" s="654" t="s">
        <v>776</v>
      </c>
      <c r="P178" s="9"/>
      <c r="T178" s="657"/>
      <c r="U178" s="657"/>
      <c r="V178" s="129"/>
      <c r="W178" s="129"/>
      <c r="X178" s="657"/>
      <c r="Y178" s="657"/>
      <c r="Z178" s="9"/>
    </row>
    <row r="179" spans="1:41" ht="16">
      <c r="A179" s="9"/>
      <c r="B179" s="9"/>
      <c r="C179" s="640"/>
      <c r="D179" s="9"/>
      <c r="E179" s="9"/>
      <c r="F179" s="9"/>
      <c r="G179" s="9"/>
      <c r="H179" s="9"/>
      <c r="I179" s="9"/>
      <c r="J179" s="2020" t="s">
        <v>745</v>
      </c>
      <c r="K179" s="2021"/>
      <c r="L179" s="2022" t="s">
        <v>735</v>
      </c>
      <c r="M179" s="2023"/>
      <c r="N179" s="621" t="s">
        <v>736</v>
      </c>
      <c r="O179" s="621" t="s">
        <v>737</v>
      </c>
      <c r="P179" s="2022" t="s">
        <v>732</v>
      </c>
      <c r="Q179" s="2023"/>
      <c r="R179" s="495"/>
      <c r="AM179" t="s">
        <v>957</v>
      </c>
      <c r="AN179" s="2062">
        <f>MAXA(AN118:AO177)</f>
        <v>783.1724999999999</v>
      </c>
      <c r="AO179" s="2062"/>
    </row>
    <row r="180" spans="1:41">
      <c r="A180" s="9"/>
      <c r="B180" s="9"/>
      <c r="D180" s="9"/>
      <c r="E180" s="9"/>
      <c r="F180" s="9"/>
      <c r="G180" s="9"/>
      <c r="H180" s="9"/>
      <c r="I180" s="624"/>
      <c r="J180" s="1580" t="s">
        <v>740</v>
      </c>
      <c r="K180" s="1581"/>
      <c r="L180" s="2016" t="s">
        <v>741</v>
      </c>
      <c r="M180" s="2017"/>
      <c r="N180" s="623" t="s">
        <v>742</v>
      </c>
      <c r="O180" s="623" t="s">
        <v>743</v>
      </c>
      <c r="P180" s="2016" t="s">
        <v>744</v>
      </c>
      <c r="Q180" s="2017"/>
      <c r="R180" s="495"/>
    </row>
    <row r="181" spans="1:41">
      <c r="A181" s="9"/>
      <c r="B181" s="9"/>
      <c r="D181" s="9"/>
      <c r="E181" s="9"/>
      <c r="F181" s="625" t="str">
        <f>A118</f>
        <v>PIANO PRIMO</v>
      </c>
      <c r="G181" s="626"/>
      <c r="H181" s="626"/>
      <c r="I181" s="626"/>
      <c r="J181" s="1951">
        <f>F113</f>
        <v>1280.3565377165207</v>
      </c>
      <c r="K181" s="1952"/>
      <c r="L181" s="1981">
        <v>60</v>
      </c>
      <c r="M181" s="1982"/>
      <c r="N181" s="650">
        <v>1</v>
      </c>
      <c r="O181" s="655">
        <v>0.5</v>
      </c>
      <c r="P181" s="1972">
        <f>L181*O181</f>
        <v>30</v>
      </c>
      <c r="Q181" s="1973"/>
      <c r="R181" s="620" t="s">
        <v>746</v>
      </c>
    </row>
    <row r="182" spans="1:41">
      <c r="A182" s="1165"/>
      <c r="B182" s="1165"/>
      <c r="C182" s="893"/>
      <c r="D182" s="1165"/>
      <c r="F182" s="625" t="str">
        <f>A138</f>
        <v>PIANO TIPO (INTERMENDIO)</v>
      </c>
      <c r="G182" s="626"/>
      <c r="H182" s="612"/>
      <c r="I182" s="624"/>
      <c r="J182" s="2009">
        <f>J181-SUM(J118:K137)</f>
        <v>991.55141258660001</v>
      </c>
      <c r="K182" s="2010"/>
      <c r="L182" s="2011">
        <v>45</v>
      </c>
      <c r="M182" s="2012"/>
      <c r="N182" s="651">
        <v>0.92</v>
      </c>
      <c r="O182" s="656">
        <v>0.5</v>
      </c>
      <c r="P182" s="2013">
        <f t="shared" ref="P182:P183" si="76">L182*O182</f>
        <v>22.5</v>
      </c>
      <c r="Q182" s="2014"/>
      <c r="R182" s="620" t="s">
        <v>746</v>
      </c>
    </row>
    <row r="183" spans="1:41">
      <c r="A183" s="9"/>
      <c r="B183" s="9"/>
      <c r="D183" s="9"/>
      <c r="F183" s="625" t="str">
        <f>A158</f>
        <v>PIANO  ULTIMO</v>
      </c>
      <c r="G183" s="626"/>
      <c r="H183" s="626"/>
      <c r="I183" s="612"/>
      <c r="J183" s="2009">
        <f>J182-SUM(J138:K157)</f>
        <v>807.72111839514309</v>
      </c>
      <c r="K183" s="2010"/>
      <c r="L183" s="2011">
        <v>90</v>
      </c>
      <c r="M183" s="2012"/>
      <c r="N183" s="651">
        <v>1.17</v>
      </c>
      <c r="O183" s="656">
        <v>0.5</v>
      </c>
      <c r="P183" s="2013">
        <f t="shared" si="76"/>
        <v>45</v>
      </c>
      <c r="Q183" s="2014"/>
      <c r="R183" s="620" t="s">
        <v>747</v>
      </c>
    </row>
    <row r="184" spans="1:41">
      <c r="A184" s="9"/>
      <c r="B184" s="9"/>
      <c r="C184" s="9"/>
      <c r="I184" s="2015"/>
      <c r="J184" s="2015"/>
      <c r="K184" s="1994"/>
      <c r="L184" s="1994"/>
      <c r="M184" s="627"/>
      <c r="N184" s="593"/>
      <c r="O184" s="1319"/>
      <c r="P184" s="1319"/>
    </row>
    <row r="185" spans="1:41">
      <c r="A185" s="9"/>
      <c r="B185" s="9"/>
      <c r="C185" s="9"/>
      <c r="I185" s="1950"/>
      <c r="J185" s="1950"/>
      <c r="K185" s="628"/>
      <c r="L185" s="629"/>
      <c r="M185" s="630"/>
      <c r="N185" s="631"/>
      <c r="O185" s="1320"/>
      <c r="P185" s="1321"/>
      <c r="Q185" s="662"/>
      <c r="R185" s="663"/>
    </row>
    <row r="186" spans="1:41">
      <c r="A186" s="9"/>
      <c r="B186" s="9"/>
      <c r="C186" s="9"/>
      <c r="I186" s="1950"/>
      <c r="J186" s="1950"/>
      <c r="K186" s="618"/>
      <c r="L186" s="618"/>
      <c r="M186" s="632"/>
      <c r="N186" s="618"/>
      <c r="O186" s="618"/>
      <c r="P186" s="618"/>
    </row>
    <row r="187" spans="1:41">
      <c r="A187" s="9"/>
      <c r="B187" s="9"/>
      <c r="C187" s="9"/>
      <c r="I187" s="1950"/>
      <c r="J187" s="1950"/>
      <c r="K187" s="1976"/>
      <c r="L187" s="1976"/>
      <c r="M187" s="632"/>
      <c r="N187" s="618"/>
      <c r="O187" s="1976"/>
      <c r="P187" s="1976"/>
    </row>
    <row r="188" spans="1:41">
      <c r="A188" s="664"/>
      <c r="B188" s="665"/>
      <c r="C188" s="665"/>
      <c r="D188" s="665"/>
      <c r="E188" s="665"/>
      <c r="F188" s="665"/>
      <c r="G188" s="665"/>
      <c r="H188" s="633"/>
      <c r="I188" s="632"/>
      <c r="J188" s="632"/>
      <c r="K188" s="618"/>
      <c r="L188" s="618"/>
      <c r="M188" s="632"/>
      <c r="N188" s="618"/>
      <c r="O188" s="618"/>
      <c r="P188" s="618"/>
    </row>
    <row r="189" spans="1:41">
      <c r="A189" s="9"/>
      <c r="B189" s="9"/>
      <c r="C189" s="9"/>
      <c r="I189" s="632"/>
      <c r="J189" s="632"/>
      <c r="K189" s="618"/>
      <c r="L189" s="618"/>
      <c r="M189" s="632"/>
      <c r="N189" s="618"/>
      <c r="O189" s="618"/>
      <c r="P189" s="618"/>
    </row>
    <row r="190" spans="1:41">
      <c r="A190" s="9"/>
      <c r="B190" s="9"/>
      <c r="C190" s="9"/>
      <c r="I190" s="632"/>
      <c r="J190" s="632"/>
      <c r="K190" s="618"/>
      <c r="L190" s="618"/>
      <c r="M190" s="632"/>
      <c r="N190" s="618"/>
      <c r="O190" s="618"/>
      <c r="P190" s="618"/>
    </row>
    <row r="191" spans="1:41">
      <c r="A191" s="9"/>
      <c r="B191" s="9"/>
      <c r="C191" s="9"/>
      <c r="I191" s="632"/>
      <c r="J191" s="632"/>
      <c r="K191" s="618"/>
      <c r="L191" s="618"/>
      <c r="M191" s="632"/>
      <c r="N191" s="618"/>
      <c r="O191" s="618"/>
      <c r="P191" s="618"/>
    </row>
    <row r="192" spans="1:41">
      <c r="A192" s="9"/>
      <c r="B192" s="9"/>
      <c r="C192" s="9"/>
      <c r="I192" s="632"/>
      <c r="J192" s="632"/>
      <c r="K192" s="618"/>
      <c r="L192" s="618"/>
      <c r="M192" s="632"/>
      <c r="N192" s="618"/>
      <c r="O192" s="618"/>
      <c r="P192" s="618"/>
    </row>
    <row r="193" spans="1:16">
      <c r="A193" s="9"/>
      <c r="B193" s="9"/>
      <c r="C193" s="9"/>
      <c r="I193" s="632"/>
      <c r="J193" s="632"/>
      <c r="K193" s="618"/>
      <c r="L193" s="618"/>
      <c r="M193" s="632"/>
      <c r="N193" s="618"/>
      <c r="O193" s="618"/>
      <c r="P193" s="618"/>
    </row>
    <row r="194" spans="1:16">
      <c r="A194" s="9"/>
      <c r="B194" s="9"/>
      <c r="C194" s="9"/>
      <c r="I194" s="632"/>
      <c r="J194" s="632"/>
      <c r="K194" s="618"/>
      <c r="L194" s="618"/>
      <c r="M194" s="632"/>
      <c r="N194" s="618"/>
      <c r="O194" s="618"/>
      <c r="P194" s="618"/>
    </row>
    <row r="195" spans="1:16">
      <c r="A195" s="9"/>
      <c r="B195" s="9"/>
      <c r="C195" s="9"/>
      <c r="I195" s="632"/>
      <c r="J195" s="632"/>
      <c r="K195" s="618"/>
      <c r="L195" s="618"/>
      <c r="M195" s="632"/>
      <c r="N195" s="618"/>
      <c r="O195" s="618"/>
      <c r="P195" s="618"/>
    </row>
    <row r="196" spans="1:16">
      <c r="A196" s="9"/>
      <c r="B196" s="9"/>
      <c r="C196" s="9"/>
      <c r="I196" s="632"/>
      <c r="J196" s="632"/>
      <c r="K196" s="618"/>
      <c r="L196" s="618"/>
      <c r="M196" s="632"/>
      <c r="N196" s="618"/>
      <c r="O196" s="618"/>
      <c r="P196" s="618"/>
    </row>
    <row r="197" spans="1:16">
      <c r="A197" s="9"/>
      <c r="B197" s="9"/>
      <c r="C197" s="9"/>
      <c r="I197" s="632"/>
      <c r="J197" s="632"/>
      <c r="K197" s="618"/>
      <c r="L197" s="618"/>
      <c r="M197" s="632"/>
      <c r="N197" s="618"/>
      <c r="O197" s="618"/>
      <c r="P197" s="618"/>
    </row>
    <row r="198" spans="1:16">
      <c r="A198" s="9"/>
      <c r="B198" s="9"/>
      <c r="C198" s="9"/>
      <c r="I198" s="632"/>
      <c r="J198" s="632"/>
      <c r="K198" s="618"/>
      <c r="L198" s="618"/>
      <c r="M198" s="632"/>
      <c r="N198" s="618"/>
      <c r="O198" s="618"/>
      <c r="P198" s="618"/>
    </row>
    <row r="199" spans="1:16">
      <c r="A199" s="9"/>
      <c r="B199" s="9"/>
      <c r="C199" s="9"/>
      <c r="I199" s="632"/>
      <c r="J199" s="632"/>
      <c r="K199" s="618"/>
      <c r="L199" s="618"/>
      <c r="M199" s="632"/>
      <c r="N199" s="618"/>
      <c r="O199" s="618"/>
      <c r="P199" s="618"/>
    </row>
    <row r="200" spans="1:16">
      <c r="A200" s="9"/>
      <c r="B200" s="9"/>
      <c r="C200" s="9"/>
      <c r="I200" s="632"/>
      <c r="J200" s="632"/>
      <c r="K200" s="618"/>
      <c r="L200" s="618"/>
      <c r="M200" s="632"/>
      <c r="N200" s="618"/>
      <c r="O200" s="618"/>
      <c r="P200" s="618"/>
    </row>
    <row r="201" spans="1:16">
      <c r="A201" s="9"/>
      <c r="B201" s="9"/>
      <c r="C201" s="9"/>
      <c r="I201" s="632"/>
      <c r="J201" s="632"/>
      <c r="K201" s="618"/>
      <c r="L201" s="618"/>
      <c r="M201" s="632"/>
      <c r="N201" s="618"/>
      <c r="O201" s="618"/>
      <c r="P201" s="618"/>
    </row>
    <row r="202" spans="1:16">
      <c r="A202" s="428"/>
      <c r="B202" s="428"/>
      <c r="C202" s="41"/>
      <c r="D202" s="41"/>
      <c r="E202" s="41"/>
      <c r="F202" s="41"/>
      <c r="G202" s="41"/>
      <c r="H202" s="41"/>
      <c r="I202" s="329"/>
      <c r="J202" s="329"/>
      <c r="K202" s="428"/>
      <c r="L202" s="618"/>
      <c r="M202" s="632"/>
      <c r="N202" s="618"/>
      <c r="O202" s="618"/>
      <c r="P202" s="618"/>
    </row>
    <row r="203" spans="1:16">
      <c r="A203" s="428"/>
      <c r="B203" s="428"/>
      <c r="C203" s="41"/>
      <c r="D203" s="41"/>
      <c r="E203" s="41"/>
      <c r="F203" s="41"/>
      <c r="G203" s="41"/>
      <c r="H203" s="41"/>
      <c r="I203" s="329"/>
      <c r="J203" s="329"/>
      <c r="K203" s="428"/>
      <c r="L203" s="618"/>
      <c r="M203" s="632"/>
      <c r="N203" s="618"/>
      <c r="O203" s="618"/>
      <c r="P203" s="618"/>
    </row>
    <row r="204" spans="1:16">
      <c r="A204" s="428"/>
      <c r="B204" s="428"/>
      <c r="C204" s="41"/>
      <c r="D204" s="41"/>
      <c r="E204" s="41"/>
      <c r="F204" s="41"/>
      <c r="G204" s="41"/>
      <c r="H204" s="41"/>
      <c r="I204" s="329"/>
      <c r="J204" s="329"/>
      <c r="K204" s="428"/>
      <c r="L204" s="618"/>
      <c r="M204" s="632"/>
      <c r="N204" s="618"/>
      <c r="O204" s="618"/>
      <c r="P204" s="618"/>
    </row>
    <row r="205" spans="1:16">
      <c r="A205" s="428"/>
      <c r="B205" s="428"/>
      <c r="C205" s="41"/>
      <c r="D205" s="41"/>
      <c r="E205" s="41"/>
      <c r="F205" s="41"/>
      <c r="G205" s="41"/>
      <c r="H205" s="41"/>
      <c r="I205" s="329"/>
      <c r="J205" s="329"/>
      <c r="K205" s="428"/>
      <c r="L205" s="618"/>
      <c r="M205" s="632"/>
      <c r="N205" s="618"/>
      <c r="O205" s="618"/>
      <c r="P205" s="618"/>
    </row>
    <row r="206" spans="1:16">
      <c r="A206" s="428"/>
      <c r="B206" s="428"/>
      <c r="C206" s="41"/>
      <c r="D206" s="41"/>
      <c r="E206" s="41"/>
      <c r="F206" s="41"/>
      <c r="G206" s="41"/>
      <c r="H206" s="41"/>
      <c r="I206" s="329"/>
      <c r="J206" s="329"/>
      <c r="K206" s="428"/>
      <c r="L206" s="618"/>
      <c r="M206" s="632"/>
      <c r="N206" s="618"/>
      <c r="O206" s="618"/>
      <c r="P206" s="618"/>
    </row>
    <row r="207" spans="1:16">
      <c r="A207" s="41"/>
      <c r="B207" s="41"/>
      <c r="C207" s="41"/>
      <c r="D207" s="41"/>
      <c r="E207" s="41"/>
      <c r="F207" s="41"/>
      <c r="G207" s="41"/>
      <c r="H207" s="41"/>
      <c r="I207" s="329"/>
      <c r="J207" s="329"/>
      <c r="K207" s="428"/>
      <c r="L207" s="618"/>
      <c r="M207" s="632"/>
      <c r="N207" s="618"/>
      <c r="O207" s="618"/>
      <c r="P207" s="618"/>
    </row>
    <row r="208" spans="1:16">
      <c r="A208" s="428"/>
      <c r="B208" s="14"/>
      <c r="C208" s="17"/>
      <c r="D208" s="14"/>
      <c r="E208" s="41"/>
      <c r="F208" s="666"/>
      <c r="G208" s="14"/>
      <c r="H208" s="14"/>
      <c r="I208" s="667"/>
      <c r="J208" s="668"/>
      <c r="K208" s="14"/>
      <c r="L208" s="659"/>
      <c r="M208" s="658"/>
      <c r="N208" s="618"/>
      <c r="O208" s="618"/>
      <c r="P208" s="618"/>
    </row>
    <row r="209" spans="1:35">
      <c r="A209" s="428"/>
      <c r="B209" s="14"/>
      <c r="C209" s="14"/>
      <c r="D209" s="14"/>
      <c r="E209" s="41"/>
      <c r="F209" s="14"/>
      <c r="G209" s="14"/>
      <c r="H209" s="14"/>
      <c r="I209" s="17"/>
      <c r="J209" s="668"/>
      <c r="K209" s="14"/>
      <c r="L209" s="659"/>
      <c r="M209" s="658"/>
      <c r="N209" s="618"/>
      <c r="O209" s="618"/>
      <c r="P209" s="618"/>
    </row>
    <row r="210" spans="1:35">
      <c r="A210" s="9"/>
      <c r="B210" s="9"/>
      <c r="C210" s="9"/>
      <c r="I210" s="632"/>
      <c r="J210" s="632"/>
      <c r="K210" s="618"/>
      <c r="L210" s="618"/>
      <c r="M210" s="632"/>
      <c r="N210" s="618"/>
      <c r="O210" s="618"/>
      <c r="P210" s="618"/>
    </row>
    <row r="211" spans="1:35">
      <c r="A211" s="9"/>
      <c r="B211" s="9"/>
      <c r="C211" s="9"/>
      <c r="I211" s="632"/>
      <c r="J211" s="632"/>
      <c r="K211" s="618"/>
      <c r="L211" s="618"/>
      <c r="M211" s="632"/>
      <c r="N211" s="618"/>
      <c r="O211" s="618"/>
      <c r="P211" s="618"/>
    </row>
    <row r="212" spans="1:35">
      <c r="A212" s="9"/>
      <c r="B212" s="9"/>
      <c r="C212" s="9"/>
      <c r="I212" s="634"/>
      <c r="J212" s="634"/>
      <c r="K212" s="635"/>
      <c r="L212" s="635"/>
      <c r="M212" s="632"/>
      <c r="N212" s="618"/>
      <c r="O212" s="618"/>
      <c r="P212" s="618"/>
    </row>
    <row r="213" spans="1:35">
      <c r="B213" s="609" t="s">
        <v>749</v>
      </c>
      <c r="C213" s="610"/>
      <c r="D213" s="610"/>
      <c r="E213" s="610"/>
      <c r="F213" s="610"/>
      <c r="G213" s="611"/>
      <c r="H213" s="626"/>
      <c r="I213" s="636"/>
      <c r="J213" s="636"/>
      <c r="K213" s="636"/>
      <c r="L213" s="624"/>
      <c r="O213" s="9"/>
    </row>
    <row r="215" spans="1:35">
      <c r="A215" t="s">
        <v>750</v>
      </c>
      <c r="V215" s="428"/>
      <c r="W215" s="428"/>
      <c r="X215" s="428"/>
      <c r="Y215" s="428"/>
      <c r="Z215" s="428"/>
      <c r="AA215" s="428"/>
      <c r="AB215" s="428"/>
      <c r="AC215" s="428"/>
      <c r="AD215" s="428"/>
      <c r="AE215" s="428"/>
      <c r="AF215" s="428"/>
      <c r="AG215" s="428"/>
      <c r="AH215" s="428"/>
      <c r="AI215" s="428"/>
    </row>
    <row r="216" spans="1:35">
      <c r="A216" t="s">
        <v>751</v>
      </c>
      <c r="V216" s="428"/>
      <c r="W216" s="428"/>
      <c r="X216" s="14"/>
      <c r="Y216" s="14"/>
      <c r="Z216" s="14"/>
      <c r="AA216" s="14"/>
      <c r="AB216" s="14"/>
      <c r="AC216" s="14"/>
      <c r="AD216" s="14"/>
      <c r="AE216" s="14"/>
      <c r="AF216" s="14"/>
      <c r="AG216" s="14"/>
      <c r="AH216" s="14"/>
      <c r="AI216" s="14"/>
    </row>
    <row r="217" spans="1:35">
      <c r="V217" s="428"/>
      <c r="W217" s="428"/>
      <c r="X217" s="14"/>
      <c r="Y217" s="14"/>
      <c r="Z217" s="14"/>
      <c r="AA217" s="14"/>
      <c r="AB217" s="14"/>
      <c r="AC217" s="14"/>
      <c r="AD217" s="14"/>
      <c r="AE217" s="14"/>
      <c r="AF217" s="14"/>
      <c r="AG217" s="14"/>
      <c r="AH217" s="14"/>
      <c r="AI217" s="14"/>
    </row>
    <row r="218" spans="1:35">
      <c r="V218" s="428"/>
      <c r="W218" s="428"/>
      <c r="X218" s="428"/>
      <c r="Y218" s="428"/>
      <c r="Z218" s="428"/>
      <c r="AA218" s="428"/>
      <c r="AB218" s="428"/>
      <c r="AC218" s="428"/>
      <c r="AD218" s="428"/>
      <c r="AE218" s="428"/>
      <c r="AF218" s="428"/>
      <c r="AG218" s="428"/>
      <c r="AH218" s="428"/>
      <c r="AI218" s="428"/>
    </row>
    <row r="219" spans="1:35">
      <c r="F219" s="607">
        <f>AN169</f>
        <v>783.1724999999999</v>
      </c>
      <c r="G219" t="s">
        <v>748</v>
      </c>
      <c r="H219" s="637" t="s">
        <v>724</v>
      </c>
      <c r="I219" s="638">
        <f>F219/1000</f>
        <v>0.78317249999999994</v>
      </c>
      <c r="J219" t="s">
        <v>752</v>
      </c>
      <c r="V219" s="428"/>
      <c r="W219" s="428"/>
      <c r="X219" s="428"/>
      <c r="Y219" s="428"/>
      <c r="Z219" s="428"/>
      <c r="AA219" s="428"/>
      <c r="AB219" s="428"/>
      <c r="AC219" s="428"/>
      <c r="AD219" s="428"/>
      <c r="AE219" s="428"/>
      <c r="AF219" s="428"/>
      <c r="AG219" s="428"/>
      <c r="AH219" s="428"/>
      <c r="AI219" s="428"/>
    </row>
    <row r="220" spans="1:35">
      <c r="V220" s="428"/>
      <c r="W220" s="428"/>
      <c r="X220" s="428"/>
      <c r="Y220" s="428"/>
      <c r="Z220" s="428"/>
      <c r="AA220" s="428"/>
      <c r="AB220" s="428"/>
      <c r="AC220" s="428"/>
      <c r="AD220" s="428"/>
      <c r="AE220" s="428"/>
      <c r="AF220" s="428"/>
      <c r="AG220" s="428"/>
      <c r="AH220" s="428"/>
      <c r="AI220" s="428"/>
    </row>
    <row r="221" spans="1:35">
      <c r="V221" s="428"/>
      <c r="W221" s="428"/>
      <c r="X221" s="428"/>
      <c r="Y221" s="428"/>
      <c r="Z221" s="428"/>
      <c r="AA221" s="428"/>
      <c r="AB221" s="428"/>
      <c r="AC221" s="428"/>
      <c r="AD221" s="428"/>
      <c r="AE221" s="428"/>
      <c r="AF221" s="428"/>
      <c r="AG221" s="428"/>
      <c r="AH221" s="428"/>
      <c r="AI221" s="428"/>
    </row>
    <row r="222" spans="1:35">
      <c r="A222" t="s">
        <v>753</v>
      </c>
      <c r="H222" s="1992" t="s">
        <v>754</v>
      </c>
      <c r="I222" s="1993"/>
      <c r="J222" s="1995" t="s">
        <v>755</v>
      </c>
      <c r="K222" s="1998"/>
      <c r="L222" s="1998"/>
      <c r="M222" s="1998"/>
      <c r="N222" s="1998"/>
      <c r="O222" s="1998"/>
      <c r="P222" s="1998"/>
      <c r="Q222" s="1998"/>
      <c r="R222" s="1998"/>
      <c r="S222" s="1998"/>
      <c r="T222" s="1998"/>
      <c r="U222" s="1998"/>
      <c r="V222" s="639"/>
      <c r="W222" s="428"/>
      <c r="X222" s="428"/>
      <c r="Y222" s="428"/>
      <c r="Z222" s="428"/>
      <c r="AA222" s="428"/>
      <c r="AB222" s="428"/>
      <c r="AC222" s="428"/>
      <c r="AD222" s="428"/>
      <c r="AE222" s="428"/>
      <c r="AF222" s="428"/>
      <c r="AG222" s="428"/>
      <c r="AH222" s="428"/>
      <c r="AI222" s="428"/>
    </row>
    <row r="223" spans="1:35">
      <c r="H223" s="1999" t="s">
        <v>756</v>
      </c>
      <c r="I223" s="2000"/>
      <c r="J223" s="2001" t="s">
        <v>757</v>
      </c>
      <c r="K223" s="2002"/>
      <c r="L223" s="2002"/>
      <c r="M223" s="2003"/>
      <c r="N223" s="2001" t="s">
        <v>758</v>
      </c>
      <c r="O223" s="2002"/>
      <c r="P223" s="2002"/>
      <c r="Q223" s="2003"/>
      <c r="R223" s="2001" t="s">
        <v>759</v>
      </c>
      <c r="S223" s="2002"/>
      <c r="T223" s="2002"/>
      <c r="U223" s="2002"/>
      <c r="V223" s="639"/>
      <c r="W223" s="428"/>
      <c r="X223" s="428"/>
      <c r="Y223" s="428"/>
      <c r="Z223" s="428"/>
      <c r="AA223" s="428"/>
      <c r="AB223" s="428"/>
      <c r="AC223" s="428"/>
      <c r="AD223" s="428"/>
      <c r="AE223" s="428"/>
      <c r="AF223" s="428"/>
      <c r="AG223" s="428"/>
      <c r="AH223" s="428"/>
      <c r="AI223" s="428"/>
    </row>
    <row r="224" spans="1:35">
      <c r="B224" t="s">
        <v>760</v>
      </c>
      <c r="D224" s="638">
        <f>F113</f>
        <v>1280.3565377165207</v>
      </c>
      <c r="E224" t="s">
        <v>730</v>
      </c>
      <c r="F224" s="638">
        <f>D224/1000</f>
        <v>1.2803565377165207</v>
      </c>
      <c r="G224" t="s">
        <v>799</v>
      </c>
      <c r="H224" s="1999" t="s">
        <v>761</v>
      </c>
      <c r="I224" s="2000"/>
      <c r="J224" s="2004"/>
      <c r="K224" s="2005"/>
      <c r="L224" s="2005"/>
      <c r="M224" s="2006"/>
      <c r="N224" s="2004"/>
      <c r="O224" s="2005"/>
      <c r="P224" s="2005"/>
      <c r="Q224" s="2006"/>
      <c r="R224" s="2004"/>
      <c r="S224" s="2005"/>
      <c r="T224" s="2005"/>
      <c r="U224" s="2005"/>
      <c r="V224" s="639"/>
      <c r="W224" s="428"/>
      <c r="X224" s="428"/>
      <c r="Y224" s="428"/>
      <c r="Z224" s="428"/>
      <c r="AA224" s="428"/>
      <c r="AB224" s="428"/>
      <c r="AC224" s="428"/>
      <c r="AD224" s="428"/>
      <c r="AE224" s="428"/>
      <c r="AF224" s="428"/>
      <c r="AG224" s="428"/>
      <c r="AH224" s="428"/>
      <c r="AI224" s="428"/>
    </row>
    <row r="225" spans="2:35">
      <c r="H225" s="2007" t="s">
        <v>762</v>
      </c>
      <c r="I225" s="2008"/>
      <c r="J225" s="1995" t="s">
        <v>763</v>
      </c>
      <c r="K225" s="1998"/>
      <c r="L225" s="1998"/>
      <c r="M225" s="1996"/>
      <c r="N225" s="1995" t="s">
        <v>763</v>
      </c>
      <c r="O225" s="1998"/>
      <c r="P225" s="1998"/>
      <c r="Q225" s="1996"/>
      <c r="R225" s="1995" t="s">
        <v>763</v>
      </c>
      <c r="S225" s="1998"/>
      <c r="T225" s="1998"/>
      <c r="U225" s="1998"/>
      <c r="V225" s="639"/>
      <c r="W225" s="428"/>
      <c r="X225" s="428"/>
      <c r="Y225" s="428"/>
      <c r="Z225" s="428"/>
      <c r="AA225" s="428"/>
      <c r="AB225" s="428"/>
      <c r="AC225" s="428"/>
      <c r="AD225" s="428"/>
      <c r="AE225" s="428"/>
      <c r="AF225" s="428"/>
      <c r="AG225" s="428"/>
      <c r="AH225" s="428"/>
      <c r="AI225" s="428"/>
    </row>
    <row r="226" spans="2:35">
      <c r="B226" t="s">
        <v>764</v>
      </c>
      <c r="D226" s="638">
        <f>I219</f>
        <v>0.78317249999999994</v>
      </c>
      <c r="E226" t="s">
        <v>752</v>
      </c>
      <c r="H226" s="1995">
        <v>1</v>
      </c>
      <c r="I226" s="1996"/>
      <c r="J226" s="1994" t="s">
        <v>765</v>
      </c>
      <c r="K226" s="1994"/>
      <c r="L226" s="1994"/>
      <c r="M226" s="1994"/>
      <c r="N226" s="1900" t="s">
        <v>765</v>
      </c>
      <c r="O226" s="1901"/>
      <c r="P226" s="1901"/>
      <c r="Q226" s="1902"/>
      <c r="R226" s="1900" t="s">
        <v>765</v>
      </c>
      <c r="S226" s="1901"/>
      <c r="T226" s="1901"/>
      <c r="U226" s="1901"/>
      <c r="V226" s="639"/>
      <c r="W226" s="428"/>
      <c r="X226" s="428"/>
      <c r="Y226" s="428"/>
      <c r="Z226" s="428"/>
      <c r="AA226" s="428"/>
      <c r="AB226" s="428"/>
      <c r="AC226" s="428"/>
      <c r="AD226" s="428"/>
      <c r="AE226" s="428"/>
      <c r="AF226" s="428"/>
      <c r="AG226" s="428"/>
      <c r="AH226" s="428"/>
      <c r="AI226" s="428"/>
    </row>
    <row r="227" spans="2:35">
      <c r="H227" s="1995">
        <v>2</v>
      </c>
      <c r="I227" s="1996"/>
      <c r="J227" s="1997" t="s">
        <v>765</v>
      </c>
      <c r="K227" s="1997"/>
      <c r="L227" s="1997"/>
      <c r="M227" s="1997"/>
      <c r="N227" s="1900" t="s">
        <v>765</v>
      </c>
      <c r="O227" s="1901"/>
      <c r="P227" s="1901"/>
      <c r="Q227" s="1902"/>
      <c r="R227" s="1900" t="s">
        <v>765</v>
      </c>
      <c r="S227" s="1901"/>
      <c r="T227" s="1901"/>
      <c r="U227" s="1902"/>
      <c r="V227" s="618"/>
      <c r="W227" s="618"/>
      <c r="X227" s="618"/>
      <c r="Y227" s="618"/>
      <c r="Z227" s="618"/>
      <c r="AA227" s="618"/>
      <c r="AB227" s="618"/>
      <c r="AC227" s="618"/>
      <c r="AD227" s="618"/>
      <c r="AE227" s="618"/>
      <c r="AF227" s="618"/>
      <c r="AG227" s="618"/>
      <c r="AH227" s="618"/>
      <c r="AI227" s="618"/>
    </row>
    <row r="228" spans="2:35">
      <c r="B228" t="s">
        <v>766</v>
      </c>
      <c r="D228" s="640">
        <f>I100</f>
        <v>14887.866717633962</v>
      </c>
      <c r="E228" t="s">
        <v>767</v>
      </c>
      <c r="H228" s="1995">
        <v>3</v>
      </c>
      <c r="I228" s="1996"/>
      <c r="J228" s="1994" t="s">
        <v>765</v>
      </c>
      <c r="K228" s="1994"/>
      <c r="L228" s="1994"/>
      <c r="M228" s="1994"/>
      <c r="N228" s="1900" t="s">
        <v>765</v>
      </c>
      <c r="O228" s="1901"/>
      <c r="P228" s="1901"/>
      <c r="Q228" s="1902"/>
      <c r="R228" s="1900" t="s">
        <v>768</v>
      </c>
      <c r="S228" s="1901"/>
      <c r="T228" s="1901"/>
      <c r="U228" s="1902"/>
      <c r="X228" s="1976"/>
      <c r="Y228" s="1976"/>
      <c r="Z228" s="1976"/>
      <c r="AA228" s="1976"/>
    </row>
    <row r="229" spans="2:35">
      <c r="H229" s="1995">
        <v>4</v>
      </c>
      <c r="I229" s="1996"/>
      <c r="J229" s="1994" t="s">
        <v>768</v>
      </c>
      <c r="K229" s="1994"/>
      <c r="L229" s="1994"/>
      <c r="M229" s="1994"/>
      <c r="N229" s="1900" t="s">
        <v>768</v>
      </c>
      <c r="O229" s="1901"/>
      <c r="P229" s="1901"/>
      <c r="Q229" s="1902"/>
      <c r="R229" s="1900" t="s">
        <v>768</v>
      </c>
      <c r="S229" s="1901"/>
      <c r="T229" s="1901"/>
      <c r="U229" s="1902"/>
    </row>
    <row r="230" spans="2:35">
      <c r="B230" t="s">
        <v>800</v>
      </c>
      <c r="D230" s="699" t="s">
        <v>801</v>
      </c>
      <c r="E230" t="s">
        <v>767</v>
      </c>
      <c r="H230" s="1995">
        <v>5</v>
      </c>
      <c r="I230" s="1996"/>
      <c r="J230" s="1994" t="s">
        <v>768</v>
      </c>
      <c r="K230" s="1994"/>
      <c r="L230" s="1994"/>
      <c r="M230" s="1994"/>
      <c r="N230" s="1900" t="s">
        <v>768</v>
      </c>
      <c r="O230" s="1901"/>
      <c r="P230" s="1901"/>
      <c r="Q230" s="1902"/>
      <c r="R230" s="1900" t="s">
        <v>769</v>
      </c>
      <c r="S230" s="1901"/>
      <c r="T230" s="1901"/>
      <c r="U230" s="1902"/>
    </row>
    <row r="231" spans="2:35">
      <c r="H231" s="1995">
        <v>6</v>
      </c>
      <c r="I231" s="1996"/>
      <c r="J231" s="1994" t="s">
        <v>768</v>
      </c>
      <c r="K231" s="1994"/>
      <c r="L231" s="1994"/>
      <c r="M231" s="1994"/>
      <c r="N231" s="1900" t="s">
        <v>769</v>
      </c>
      <c r="O231" s="1901"/>
      <c r="P231" s="1901"/>
      <c r="Q231" s="1902"/>
      <c r="R231" s="1900" t="s">
        <v>769</v>
      </c>
      <c r="S231" s="1901"/>
      <c r="T231" s="1901"/>
      <c r="U231" s="1902"/>
    </row>
    <row r="232" spans="2:35">
      <c r="H232" s="1995">
        <v>7</v>
      </c>
      <c r="I232" s="1996"/>
      <c r="J232" s="1994" t="s">
        <v>769</v>
      </c>
      <c r="K232" s="1994"/>
      <c r="L232" s="1994"/>
      <c r="M232" s="1994"/>
      <c r="N232" s="1900" t="s">
        <v>770</v>
      </c>
      <c r="O232" s="1901"/>
      <c r="P232" s="1901"/>
      <c r="Q232" s="1902"/>
      <c r="R232" s="1900" t="s">
        <v>770</v>
      </c>
      <c r="S232" s="1901"/>
      <c r="T232" s="1901"/>
      <c r="U232" s="1902"/>
    </row>
    <row r="233" spans="2:35">
      <c r="H233" s="1992">
        <v>8</v>
      </c>
      <c r="I233" s="1993"/>
      <c r="J233" s="1994" t="s">
        <v>769</v>
      </c>
      <c r="K233" s="1994"/>
      <c r="L233" s="1994"/>
      <c r="M233" s="1994"/>
      <c r="N233" s="1900" t="s">
        <v>771</v>
      </c>
      <c r="O233" s="1901"/>
      <c r="P233" s="1901"/>
      <c r="Q233" s="1902"/>
      <c r="R233" s="1900" t="s">
        <v>771</v>
      </c>
      <c r="S233" s="1901"/>
      <c r="T233" s="1901"/>
      <c r="U233" s="1902"/>
    </row>
    <row r="234" spans="2:35">
      <c r="H234" s="515"/>
      <c r="I234" s="515"/>
      <c r="J234" s="515"/>
      <c r="K234" s="515"/>
      <c r="L234" s="515"/>
      <c r="M234" s="515"/>
    </row>
    <row r="257" spans="2:22">
      <c r="B257" t="s">
        <v>959</v>
      </c>
    </row>
    <row r="258" spans="2:22">
      <c r="F258" s="1322" t="s">
        <v>1003</v>
      </c>
      <c r="G258" s="515"/>
      <c r="H258" s="515"/>
      <c r="I258" s="515"/>
      <c r="J258" s="515"/>
      <c r="K258" s="515"/>
      <c r="L258" s="515"/>
      <c r="M258" s="515"/>
      <c r="N258" s="515"/>
      <c r="O258" s="515"/>
      <c r="P258" s="515"/>
      <c r="Q258" s="515"/>
      <c r="R258" s="515"/>
      <c r="S258" s="515"/>
      <c r="T258" s="515"/>
      <c r="U258" s="515"/>
      <c r="V258" s="1323"/>
    </row>
    <row r="259" spans="2:22">
      <c r="B259" s="1322" t="s">
        <v>1002</v>
      </c>
      <c r="C259" s="515"/>
      <c r="D259" s="1323"/>
      <c r="F259" s="625"/>
      <c r="G259" s="626"/>
      <c r="H259" s="626"/>
      <c r="I259" s="626"/>
      <c r="J259" s="1336" t="s">
        <v>1019</v>
      </c>
      <c r="K259" s="626"/>
      <c r="L259" s="626"/>
      <c r="M259" s="626"/>
      <c r="N259" s="626"/>
      <c r="O259" s="626"/>
      <c r="P259" s="612"/>
      <c r="Q259" s="626"/>
      <c r="R259" s="626"/>
      <c r="S259" s="626"/>
      <c r="T259" s="626"/>
      <c r="U259" s="626"/>
      <c r="V259" s="612"/>
    </row>
    <row r="260" spans="2:22" ht="57">
      <c r="B260" s="1324" t="s">
        <v>991</v>
      </c>
      <c r="C260" s="1324" t="s">
        <v>992</v>
      </c>
      <c r="D260" s="1324" t="s">
        <v>995</v>
      </c>
      <c r="F260" s="1337" t="s">
        <v>1004</v>
      </c>
      <c r="G260" s="1338" t="s">
        <v>1005</v>
      </c>
      <c r="H260" s="1338" t="s">
        <v>1006</v>
      </c>
      <c r="I260" s="9"/>
      <c r="J260" s="1338" t="s">
        <v>1011</v>
      </c>
      <c r="K260" s="1338" t="s">
        <v>1009</v>
      </c>
      <c r="L260" s="1338" t="s">
        <v>1017</v>
      </c>
      <c r="M260" s="1338" t="s">
        <v>1009</v>
      </c>
      <c r="N260" s="1338" t="s">
        <v>1014</v>
      </c>
      <c r="O260" s="1338" t="s">
        <v>1008</v>
      </c>
      <c r="P260" s="1339" t="s">
        <v>1020</v>
      </c>
      <c r="Q260" s="1331" t="s">
        <v>1022</v>
      </c>
      <c r="R260" s="1340" t="s">
        <v>1007</v>
      </c>
      <c r="S260" s="1340" t="s">
        <v>1024</v>
      </c>
      <c r="T260" s="1340" t="s">
        <v>1026</v>
      </c>
      <c r="U260" s="9"/>
      <c r="V260" s="1340" t="s">
        <v>1027</v>
      </c>
    </row>
    <row r="261" spans="2:22" ht="37">
      <c r="B261" s="1325" t="s">
        <v>994</v>
      </c>
      <c r="C261" s="1325" t="s">
        <v>993</v>
      </c>
      <c r="D261" s="1295"/>
      <c r="F261" s="1329"/>
      <c r="G261" s="1329"/>
      <c r="H261" s="1329"/>
      <c r="I261" s="9"/>
      <c r="J261" s="1332" t="s">
        <v>1012</v>
      </c>
      <c r="K261" s="1295" t="s">
        <v>1010</v>
      </c>
      <c r="L261" s="1295"/>
      <c r="M261" s="1295" t="s">
        <v>1010</v>
      </c>
      <c r="N261" s="1295" t="s">
        <v>1015</v>
      </c>
      <c r="O261" s="1295"/>
      <c r="P261" s="1295"/>
      <c r="Q261" s="9"/>
      <c r="R261" s="1325" t="s">
        <v>994</v>
      </c>
      <c r="S261" s="1325" t="s">
        <v>994</v>
      </c>
      <c r="T261" s="1325" t="s">
        <v>1025</v>
      </c>
      <c r="U261" s="9"/>
      <c r="V261" s="1325" t="s">
        <v>974</v>
      </c>
    </row>
    <row r="262" spans="2:22" ht="18">
      <c r="B262" s="1326" t="s">
        <v>996</v>
      </c>
      <c r="C262" s="1326" t="s">
        <v>996</v>
      </c>
      <c r="D262" s="1326" t="s">
        <v>996</v>
      </c>
      <c r="F262" s="1329"/>
      <c r="G262" s="1329"/>
      <c r="H262" s="1330" t="s">
        <v>996</v>
      </c>
      <c r="I262" s="9"/>
      <c r="J262" s="1295" t="s">
        <v>351</v>
      </c>
      <c r="K262" s="1333" t="s">
        <v>740</v>
      </c>
      <c r="L262" s="1295"/>
      <c r="M262" s="1333" t="s">
        <v>1018</v>
      </c>
      <c r="N262" s="1295" t="s">
        <v>1016</v>
      </c>
      <c r="O262" s="1333" t="s">
        <v>1013</v>
      </c>
      <c r="P262" s="1333" t="s">
        <v>1021</v>
      </c>
      <c r="Q262" s="1333" t="s">
        <v>1023</v>
      </c>
      <c r="R262" s="1326" t="s">
        <v>996</v>
      </c>
      <c r="S262" s="1326" t="s">
        <v>996</v>
      </c>
      <c r="T262" s="1326" t="s">
        <v>996</v>
      </c>
      <c r="U262" s="9"/>
      <c r="V262" s="1326" t="s">
        <v>996</v>
      </c>
    </row>
    <row r="263" spans="2:22">
      <c r="B263" s="1327">
        <f>(((SUM(O118:O177))*1000)*((PI()*(8^2))/4))/1000000</f>
        <v>16.840947242539581</v>
      </c>
      <c r="C263" s="1328">
        <f>(SUM(D118:E177))*0.2</f>
        <v>18.600000000000001</v>
      </c>
      <c r="D263" s="1295">
        <v>0.2</v>
      </c>
      <c r="F263" s="1295">
        <v>2</v>
      </c>
      <c r="G263" s="1295">
        <v>7</v>
      </c>
      <c r="H263" s="2066">
        <f>F263*G263*(SUM(B263:D263))</f>
        <v>498.97326139555412</v>
      </c>
      <c r="I263" s="636"/>
      <c r="J263" s="1335">
        <v>10</v>
      </c>
      <c r="K263" s="2066">
        <f>L69/(1.16*J263)</f>
        <v>739.25958873768673</v>
      </c>
      <c r="L263" s="1334">
        <v>2.7777777777777998E-7</v>
      </c>
      <c r="M263" s="1295">
        <f>K263*L263</f>
        <v>2.0534988576047017E-4</v>
      </c>
      <c r="N263" s="1295">
        <v>1</v>
      </c>
      <c r="O263" s="2066">
        <f>(M263/N263)*1000000</f>
        <v>205.34988576047016</v>
      </c>
      <c r="P263" s="2066">
        <f>SQRT((4*O263)/PI())</f>
        <v>16.169712275024523</v>
      </c>
      <c r="Q263" s="636">
        <f>(7*3)+6</f>
        <v>27</v>
      </c>
      <c r="R263" s="1327">
        <f>((Q263*1000)*((PI()*(P263^2))/4))/1000000</f>
        <v>5.5444469155326948</v>
      </c>
      <c r="S263" s="1327">
        <f>((Q263*1000)*((PI()*(P263^2))/4))/1000000</f>
        <v>5.5444469155326948</v>
      </c>
      <c r="T263" s="1327">
        <f>R263+S263</f>
        <v>11.08889383106539</v>
      </c>
      <c r="U263" s="636"/>
      <c r="V263" s="1327">
        <f>H263+T263</f>
        <v>510.0621552266195</v>
      </c>
    </row>
    <row r="266" spans="2:22">
      <c r="B266" s="1292" t="s">
        <v>960</v>
      </c>
      <c r="C266" s="1292" t="s">
        <v>961</v>
      </c>
      <c r="D266" s="515"/>
      <c r="E266" s="1293"/>
      <c r="F266" s="1293"/>
      <c r="G266" s="515"/>
      <c r="H266" s="515"/>
      <c r="I266" s="1294"/>
      <c r="J266" s="515"/>
      <c r="K266" s="515"/>
      <c r="L266" s="515"/>
      <c r="M266" s="515"/>
      <c r="N266" s="515"/>
      <c r="O266" s="515"/>
      <c r="P266" s="515"/>
      <c r="Q266" s="515"/>
    </row>
    <row r="267" spans="2:22">
      <c r="B267" s="1295" t="s">
        <v>962</v>
      </c>
      <c r="C267" s="1295">
        <v>9</v>
      </c>
      <c r="D267" s="1296" t="s">
        <v>360</v>
      </c>
      <c r="E267" s="9"/>
      <c r="F267" s="9"/>
      <c r="G267" s="9"/>
      <c r="H267" s="9"/>
      <c r="I267" s="9"/>
      <c r="J267" s="9"/>
      <c r="K267" s="9"/>
      <c r="L267" s="9"/>
      <c r="M267" s="9"/>
      <c r="N267" s="9"/>
      <c r="O267" s="9"/>
      <c r="P267" s="9"/>
      <c r="Q267" s="9"/>
    </row>
    <row r="268" spans="2:22">
      <c r="B268" s="1295" t="s">
        <v>963</v>
      </c>
      <c r="C268" s="1295">
        <v>1</v>
      </c>
      <c r="D268" s="1297" t="s">
        <v>964</v>
      </c>
      <c r="E268" s="1298" t="s">
        <v>965</v>
      </c>
      <c r="F268" s="9"/>
      <c r="G268" s="9"/>
      <c r="H268" s="9"/>
      <c r="I268" s="9"/>
      <c r="J268" s="9"/>
      <c r="K268" s="9"/>
      <c r="L268" s="9"/>
      <c r="M268" s="9"/>
      <c r="N268" s="9"/>
      <c r="O268" s="9"/>
      <c r="P268" s="9"/>
      <c r="Q268" s="9"/>
    </row>
    <row r="269" spans="2:22">
      <c r="B269" s="1295" t="s">
        <v>966</v>
      </c>
      <c r="C269" s="1295">
        <v>1.7</v>
      </c>
      <c r="D269" s="1297" t="s">
        <v>964</v>
      </c>
      <c r="E269" s="1298" t="s">
        <v>967</v>
      </c>
      <c r="F269" s="9"/>
      <c r="G269" s="9"/>
      <c r="H269" s="9"/>
      <c r="I269" s="9"/>
      <c r="J269" s="9"/>
      <c r="K269" s="9"/>
      <c r="L269" s="9"/>
      <c r="M269" s="9"/>
      <c r="N269" s="9"/>
      <c r="O269" s="9"/>
      <c r="P269" s="9"/>
      <c r="Q269" s="9"/>
    </row>
    <row r="270" spans="2:22">
      <c r="B270" s="1295" t="s">
        <v>968</v>
      </c>
      <c r="C270" s="1295">
        <v>3.5</v>
      </c>
      <c r="D270" s="1297" t="s">
        <v>964</v>
      </c>
      <c r="E270" s="1298" t="s">
        <v>969</v>
      </c>
      <c r="F270" s="9"/>
      <c r="G270" s="9"/>
      <c r="H270" s="9"/>
      <c r="I270" s="9"/>
      <c r="J270" s="9"/>
      <c r="K270" s="9"/>
      <c r="L270" s="9"/>
      <c r="M270" s="9"/>
      <c r="N270" s="9"/>
      <c r="O270" s="9"/>
      <c r="P270" s="9"/>
      <c r="Q270" s="9"/>
    </row>
    <row r="271" spans="2:22">
      <c r="B271" s="1299" t="s">
        <v>970</v>
      </c>
      <c r="C271" s="1299">
        <f>C269+0.3+C268</f>
        <v>3</v>
      </c>
      <c r="D271" s="1297" t="s">
        <v>964</v>
      </c>
      <c r="E271" s="1300" t="s">
        <v>971</v>
      </c>
      <c r="F271" s="9"/>
      <c r="G271" s="9"/>
      <c r="H271" s="9"/>
      <c r="I271" s="9"/>
      <c r="J271" s="9"/>
      <c r="K271" s="9"/>
      <c r="L271" s="9"/>
      <c r="M271" s="9"/>
      <c r="N271" s="9"/>
      <c r="O271" s="9"/>
      <c r="P271" s="9"/>
      <c r="Q271" s="9"/>
    </row>
    <row r="272" spans="2:22">
      <c r="B272" s="1299" t="s">
        <v>972</v>
      </c>
      <c r="C272" s="1299">
        <f>C270+1+(C267*0.1)</f>
        <v>5.4</v>
      </c>
      <c r="D272" s="1297" t="s">
        <v>964</v>
      </c>
      <c r="E272" s="1300" t="s">
        <v>973</v>
      </c>
      <c r="F272" s="9"/>
      <c r="G272" s="9"/>
      <c r="H272" s="9"/>
      <c r="I272" s="9"/>
      <c r="J272" s="9"/>
      <c r="K272" s="9"/>
      <c r="L272" s="9"/>
      <c r="M272" s="9"/>
      <c r="N272" s="9"/>
      <c r="O272" s="9"/>
      <c r="P272" s="9"/>
      <c r="Q272" s="9"/>
    </row>
    <row r="273" spans="2:17">
      <c r="B273" s="1295" t="s">
        <v>974</v>
      </c>
      <c r="C273" s="1301">
        <f>V263</f>
        <v>510.0621552266195</v>
      </c>
      <c r="D273" s="1297" t="s">
        <v>181</v>
      </c>
      <c r="E273" s="1300" t="s">
        <v>975</v>
      </c>
      <c r="F273" s="9"/>
      <c r="G273" s="9"/>
      <c r="H273" s="9"/>
      <c r="I273" s="9"/>
      <c r="J273" s="9"/>
      <c r="K273" s="9"/>
      <c r="L273" s="9"/>
      <c r="M273" s="9"/>
      <c r="N273" s="9"/>
      <c r="O273" s="9"/>
      <c r="P273" s="9"/>
      <c r="Q273" s="9"/>
    </row>
    <row r="274" spans="2:17">
      <c r="B274" s="1295" t="s">
        <v>976</v>
      </c>
      <c r="C274" s="1295">
        <v>70</v>
      </c>
      <c r="D274" s="1297" t="s">
        <v>977</v>
      </c>
      <c r="E274" s="1302" t="s">
        <v>978</v>
      </c>
      <c r="F274" s="9"/>
      <c r="G274" s="9"/>
      <c r="H274" s="9"/>
      <c r="I274" s="9"/>
      <c r="J274" s="9"/>
      <c r="K274" s="9" t="s">
        <v>979</v>
      </c>
      <c r="L274" s="9"/>
      <c r="M274" s="9"/>
      <c r="N274" s="9"/>
      <c r="O274" s="9"/>
      <c r="P274" s="9"/>
      <c r="Q274" s="9"/>
    </row>
    <row r="275" spans="2:17">
      <c r="B275" s="1299" t="s">
        <v>237</v>
      </c>
      <c r="C275" s="1299">
        <f>0.31+3.9*0.0001*(C274^2)</f>
        <v>2.2210000000000001</v>
      </c>
      <c r="D275" s="1297"/>
      <c r="E275" s="1300" t="s">
        <v>980</v>
      </c>
      <c r="F275" s="9"/>
      <c r="G275" s="9"/>
      <c r="H275" s="9"/>
      <c r="I275" s="9"/>
      <c r="J275" s="9"/>
      <c r="K275" s="9"/>
      <c r="L275" s="9"/>
      <c r="M275" s="9"/>
      <c r="N275" s="9"/>
      <c r="O275" s="9"/>
      <c r="P275" s="9"/>
      <c r="Q275" s="9"/>
    </row>
    <row r="276" spans="2:17">
      <c r="B276" s="1299" t="s">
        <v>981</v>
      </c>
      <c r="C276" s="1303">
        <f>C273*(0.31+3.9*0.0001*(C274^2))/100</f>
        <v>11.328480467583219</v>
      </c>
      <c r="D276" s="1297" t="s">
        <v>181</v>
      </c>
      <c r="E276" s="1298" t="s">
        <v>982</v>
      </c>
      <c r="F276" s="9"/>
      <c r="G276" s="9"/>
      <c r="H276" s="9"/>
      <c r="I276" s="9"/>
      <c r="J276" s="9"/>
      <c r="K276" s="9"/>
      <c r="L276" s="9"/>
      <c r="M276" s="9"/>
      <c r="N276" s="9"/>
      <c r="O276" s="9"/>
      <c r="P276" s="9"/>
      <c r="Q276" s="9"/>
    </row>
    <row r="277" spans="2:17">
      <c r="B277" s="1299" t="s">
        <v>983</v>
      </c>
      <c r="C277" s="1303">
        <f>C276/(1-(C271/C272))</f>
        <v>25.48908105206224</v>
      </c>
      <c r="D277" s="1304"/>
      <c r="E277" s="1298" t="s">
        <v>984</v>
      </c>
      <c r="F277" s="9"/>
      <c r="G277" s="9"/>
      <c r="H277" s="9"/>
      <c r="I277" s="9"/>
      <c r="J277" s="9"/>
      <c r="K277" s="9"/>
      <c r="L277" s="9"/>
      <c r="M277" s="9"/>
      <c r="N277" s="9"/>
      <c r="O277" s="9"/>
      <c r="P277" s="9"/>
      <c r="Q277" s="9"/>
    </row>
    <row r="278" spans="2:17" ht="16" thickBot="1">
      <c r="B278" s="495"/>
      <c r="C278" s="9"/>
      <c r="D278" s="9"/>
      <c r="E278" s="9"/>
      <c r="F278" s="9"/>
      <c r="G278" s="9"/>
      <c r="H278" s="9"/>
      <c r="I278" s="9"/>
      <c r="J278" s="9"/>
      <c r="K278" s="9"/>
      <c r="L278" s="9"/>
      <c r="M278" s="9"/>
      <c r="N278" s="9"/>
      <c r="O278" s="9"/>
      <c r="P278" s="9"/>
      <c r="Q278" s="9"/>
    </row>
    <row r="279" spans="2:17">
      <c r="B279" s="1305" t="s">
        <v>997</v>
      </c>
      <c r="C279" s="1306"/>
      <c r="D279" s="1306"/>
      <c r="E279" s="1306"/>
      <c r="F279" s="1306"/>
      <c r="G279" s="1306"/>
      <c r="H279" s="1306"/>
      <c r="I279" s="1306"/>
      <c r="J279" s="1307"/>
      <c r="M279" s="9"/>
      <c r="N279" s="9"/>
      <c r="O279" s="9"/>
      <c r="P279" s="9"/>
      <c r="Q279" s="9"/>
    </row>
    <row r="280" spans="2:17">
      <c r="B280" s="1308"/>
      <c r="C280" s="9"/>
      <c r="D280" s="9"/>
      <c r="E280" s="9"/>
      <c r="F280" s="9"/>
      <c r="G280" s="9"/>
      <c r="H280" s="9"/>
      <c r="I280" s="9"/>
      <c r="J280" s="1309"/>
      <c r="M280" s="9"/>
      <c r="N280" s="9"/>
      <c r="O280" s="9"/>
      <c r="P280" s="9"/>
      <c r="Q280" s="9"/>
    </row>
    <row r="281" spans="2:17">
      <c r="B281" s="1308" t="s">
        <v>999</v>
      </c>
      <c r="C281" s="9" t="s">
        <v>998</v>
      </c>
      <c r="D281" s="9" t="s">
        <v>1000</v>
      </c>
      <c r="E281" t="s">
        <v>957</v>
      </c>
      <c r="F281" s="9"/>
      <c r="G281" s="41" t="s">
        <v>1001</v>
      </c>
      <c r="H281" s="9"/>
      <c r="I281" s="9"/>
      <c r="J281" s="1309"/>
      <c r="M281" s="9"/>
      <c r="N281" s="9"/>
      <c r="O281" s="9"/>
      <c r="P281" s="9"/>
      <c r="Q281" s="9"/>
    </row>
    <row r="282" spans="2:17" ht="16" thickBot="1">
      <c r="B282" s="1310">
        <f>B292</f>
        <v>24</v>
      </c>
      <c r="C282" s="1311">
        <v>1</v>
      </c>
      <c r="D282" s="1311">
        <f>B282*C282</f>
        <v>24</v>
      </c>
      <c r="E282" s="1311">
        <f>F292</f>
        <v>26.4</v>
      </c>
      <c r="F282" s="1311" t="s">
        <v>985</v>
      </c>
      <c r="G282" s="1312">
        <f>C277</f>
        <v>25.48908105206224</v>
      </c>
      <c r="H282" s="1311" t="str">
        <f>IF(E282&gt;G282,"ok","no")</f>
        <v>ok</v>
      </c>
      <c r="I282" s="1311"/>
      <c r="J282" s="1313"/>
      <c r="K282" s="636"/>
      <c r="L282" s="636"/>
      <c r="M282" s="636"/>
      <c r="N282" s="636"/>
      <c r="O282" s="636"/>
      <c r="P282" s="636"/>
      <c r="Q282" s="636"/>
    </row>
    <row r="286" spans="2:17">
      <c r="B286" s="1314" t="s">
        <v>986</v>
      </c>
      <c r="C286" s="1315"/>
      <c r="D286" s="1315"/>
      <c r="E286" s="1315"/>
      <c r="F286" s="1315"/>
    </row>
    <row r="287" spans="2:17" ht="16">
      <c r="B287" s="1316" t="s">
        <v>987</v>
      </c>
      <c r="D287" s="1316" t="s">
        <v>987</v>
      </c>
      <c r="E287" s="1316"/>
      <c r="F287" s="1316" t="s">
        <v>987</v>
      </c>
    </row>
    <row r="288" spans="2:17" ht="36">
      <c r="B288" s="1314">
        <v>5</v>
      </c>
      <c r="C288" s="1317" t="s">
        <v>988</v>
      </c>
      <c r="D288" s="1314">
        <v>4.5</v>
      </c>
      <c r="E288" s="1318" t="s">
        <v>989</v>
      </c>
      <c r="F288" s="1314">
        <v>5.5</v>
      </c>
    </row>
    <row r="289" spans="2:6">
      <c r="B289" s="1314">
        <v>8</v>
      </c>
      <c r="C289" s="1318" t="s">
        <v>990</v>
      </c>
      <c r="D289" s="1314">
        <v>7.2</v>
      </c>
      <c r="E289" s="1318" t="s">
        <v>989</v>
      </c>
      <c r="F289" s="1314">
        <v>8.8000000000000007</v>
      </c>
    </row>
    <row r="290" spans="2:6">
      <c r="B290" s="1314">
        <v>12</v>
      </c>
      <c r="C290" s="1318" t="s">
        <v>990</v>
      </c>
      <c r="D290" s="1314">
        <v>10.8</v>
      </c>
      <c r="E290" s="1318" t="s">
        <v>989</v>
      </c>
      <c r="F290" s="1314">
        <v>13.2</v>
      </c>
    </row>
    <row r="291" spans="2:6">
      <c r="B291" s="1314">
        <v>18</v>
      </c>
      <c r="C291" s="1318" t="s">
        <v>990</v>
      </c>
      <c r="D291" s="1314">
        <v>16.2</v>
      </c>
      <c r="E291" s="1318" t="s">
        <v>989</v>
      </c>
      <c r="F291" s="1314">
        <v>19.8</v>
      </c>
    </row>
    <row r="292" spans="2:6">
      <c r="B292" s="1314">
        <v>24</v>
      </c>
      <c r="C292" s="1318" t="s">
        <v>990</v>
      </c>
      <c r="D292" s="1314">
        <v>21.6</v>
      </c>
      <c r="E292" s="1318" t="s">
        <v>989</v>
      </c>
      <c r="F292" s="1314">
        <v>26.4</v>
      </c>
    </row>
    <row r="293" spans="2:6">
      <c r="B293" s="1314">
        <v>35</v>
      </c>
      <c r="C293" s="1318" t="s">
        <v>990</v>
      </c>
      <c r="D293" s="1314">
        <v>31.5</v>
      </c>
      <c r="E293" s="1318" t="s">
        <v>989</v>
      </c>
      <c r="F293" s="1314">
        <v>38.5</v>
      </c>
    </row>
    <row r="294" spans="2:6">
      <c r="B294" s="1314">
        <v>50</v>
      </c>
      <c r="C294" s="1318" t="s">
        <v>990</v>
      </c>
      <c r="D294" s="1314">
        <v>45</v>
      </c>
      <c r="E294" s="1318" t="s">
        <v>989</v>
      </c>
      <c r="F294" s="1314">
        <v>55</v>
      </c>
    </row>
    <row r="295" spans="2:6">
      <c r="B295" s="1314">
        <v>80</v>
      </c>
      <c r="C295" s="1318" t="s">
        <v>990</v>
      </c>
      <c r="D295" s="1314">
        <v>72</v>
      </c>
      <c r="E295" s="1318" t="s">
        <v>989</v>
      </c>
      <c r="F295" s="1314">
        <v>88</v>
      </c>
    </row>
    <row r="296" spans="2:6">
      <c r="B296" s="1314">
        <v>105</v>
      </c>
      <c r="C296" s="1318" t="s">
        <v>990</v>
      </c>
      <c r="D296" s="1314">
        <v>94.5</v>
      </c>
      <c r="E296" s="1318" t="s">
        <v>989</v>
      </c>
      <c r="F296" s="1314">
        <v>115.5</v>
      </c>
    </row>
    <row r="297" spans="2:6">
      <c r="B297" s="1314">
        <v>150</v>
      </c>
      <c r="C297" s="1318" t="s">
        <v>990</v>
      </c>
      <c r="D297" s="1314">
        <v>135</v>
      </c>
      <c r="E297" s="1318" t="s">
        <v>989</v>
      </c>
      <c r="F297" s="1314">
        <v>165</v>
      </c>
    </row>
    <row r="298" spans="2:6">
      <c r="B298" s="1314">
        <v>200</v>
      </c>
      <c r="C298" s="1318" t="s">
        <v>990</v>
      </c>
      <c r="D298" s="1314">
        <v>180</v>
      </c>
      <c r="E298" s="1318" t="s">
        <v>989</v>
      </c>
      <c r="F298" s="1314">
        <v>220</v>
      </c>
    </row>
    <row r="299" spans="2:6">
      <c r="B299" s="1314">
        <v>250</v>
      </c>
      <c r="C299" s="1318" t="s">
        <v>990</v>
      </c>
      <c r="D299" s="1314">
        <v>225</v>
      </c>
      <c r="E299" s="1318" t="s">
        <v>989</v>
      </c>
      <c r="F299" s="1314">
        <v>275</v>
      </c>
    </row>
    <row r="300" spans="2:6">
      <c r="B300" s="1314">
        <v>300</v>
      </c>
      <c r="C300" s="1318" t="s">
        <v>990</v>
      </c>
      <c r="D300" s="1314">
        <v>270</v>
      </c>
      <c r="E300" s="1318" t="s">
        <v>989</v>
      </c>
      <c r="F300" s="1314">
        <v>330</v>
      </c>
    </row>
  </sheetData>
  <mergeCells count="815">
    <mergeCell ref="AN150:AO150"/>
    <mergeCell ref="AN151:AO151"/>
    <mergeCell ref="AN152:AO152"/>
    <mergeCell ref="AN135:AO135"/>
    <mergeCell ref="AN179:AO179"/>
    <mergeCell ref="AN124:AO124"/>
    <mergeCell ref="AN125:AO125"/>
    <mergeCell ref="AN126:AO126"/>
    <mergeCell ref="AN127:AO127"/>
    <mergeCell ref="AN128:AO128"/>
    <mergeCell ref="AN129:AO129"/>
    <mergeCell ref="AN130:AO130"/>
    <mergeCell ref="AN176:AO176"/>
    <mergeCell ref="AN177:AO177"/>
    <mergeCell ref="AN131:AO131"/>
    <mergeCell ref="AN132:AO132"/>
    <mergeCell ref="AN133:AO133"/>
    <mergeCell ref="AN134:AO134"/>
    <mergeCell ref="AN171:AO171"/>
    <mergeCell ref="AN172:AO172"/>
    <mergeCell ref="AN173:AO173"/>
    <mergeCell ref="AN174:AO174"/>
    <mergeCell ref="AN175:AO175"/>
    <mergeCell ref="AN157:AO157"/>
    <mergeCell ref="AN115:AO115"/>
    <mergeCell ref="AN116:AO116"/>
    <mergeCell ref="AN117:AO117"/>
    <mergeCell ref="AN118:AO118"/>
    <mergeCell ref="AN119:AO119"/>
    <mergeCell ref="AN120:AO120"/>
    <mergeCell ref="AN121:AO121"/>
    <mergeCell ref="AN122:AO122"/>
    <mergeCell ref="AN123:AO123"/>
    <mergeCell ref="AL133:AM133"/>
    <mergeCell ref="AL134:AM134"/>
    <mergeCell ref="AL171:AM171"/>
    <mergeCell ref="AL172:AM172"/>
    <mergeCell ref="AL173:AM173"/>
    <mergeCell ref="AL174:AM174"/>
    <mergeCell ref="AL175:AM175"/>
    <mergeCell ref="AL176:AM176"/>
    <mergeCell ref="AL177:AM177"/>
    <mergeCell ref="AL154:AM154"/>
    <mergeCell ref="AL155:AM155"/>
    <mergeCell ref="AL156:AM156"/>
    <mergeCell ref="AL157:AM157"/>
    <mergeCell ref="AL158:AM158"/>
    <mergeCell ref="AL159:AM159"/>
    <mergeCell ref="AL160:AM160"/>
    <mergeCell ref="AL161:AM161"/>
    <mergeCell ref="AL162:AM162"/>
    <mergeCell ref="AL163:AM163"/>
    <mergeCell ref="AL164:AM164"/>
    <mergeCell ref="AL165:AM165"/>
    <mergeCell ref="AL166:AM166"/>
    <mergeCell ref="AL167:AM167"/>
    <mergeCell ref="AL168:AM168"/>
    <mergeCell ref="AL124:AM124"/>
    <mergeCell ref="AL125:AM125"/>
    <mergeCell ref="AL126:AM126"/>
    <mergeCell ref="AL127:AM127"/>
    <mergeCell ref="AL128:AM128"/>
    <mergeCell ref="AL129:AM129"/>
    <mergeCell ref="AL130:AM130"/>
    <mergeCell ref="AL131:AM131"/>
    <mergeCell ref="AL132:AM132"/>
    <mergeCell ref="AL115:AM115"/>
    <mergeCell ref="AL116:AM116"/>
    <mergeCell ref="AL117:AM117"/>
    <mergeCell ref="AL118:AM118"/>
    <mergeCell ref="AL119:AM119"/>
    <mergeCell ref="AL120:AM120"/>
    <mergeCell ref="AL121:AM121"/>
    <mergeCell ref="AL122:AM122"/>
    <mergeCell ref="AL123:AM123"/>
    <mergeCell ref="AJ134:AK134"/>
    <mergeCell ref="AJ171:AK171"/>
    <mergeCell ref="AJ172:AK172"/>
    <mergeCell ref="AJ173:AK173"/>
    <mergeCell ref="AJ174:AK174"/>
    <mergeCell ref="AJ175:AK175"/>
    <mergeCell ref="AJ176:AK176"/>
    <mergeCell ref="AJ177:AK177"/>
    <mergeCell ref="AJ151:AK151"/>
    <mergeCell ref="AJ152:AK152"/>
    <mergeCell ref="AJ153:AK153"/>
    <mergeCell ref="AJ154:AK154"/>
    <mergeCell ref="AJ155:AK155"/>
    <mergeCell ref="AJ156:AK156"/>
    <mergeCell ref="AJ157:AK157"/>
    <mergeCell ref="AJ158:AK158"/>
    <mergeCell ref="AJ159:AK159"/>
    <mergeCell ref="AJ160:AK160"/>
    <mergeCell ref="AJ161:AK161"/>
    <mergeCell ref="AJ162:AK162"/>
    <mergeCell ref="AJ163:AK163"/>
    <mergeCell ref="AJ164:AK164"/>
    <mergeCell ref="AJ165:AK165"/>
    <mergeCell ref="AJ166:AK166"/>
    <mergeCell ref="AJ125:AK125"/>
    <mergeCell ref="AJ126:AK126"/>
    <mergeCell ref="AJ127:AK127"/>
    <mergeCell ref="AJ128:AK128"/>
    <mergeCell ref="AJ129:AK129"/>
    <mergeCell ref="AJ130:AK130"/>
    <mergeCell ref="AJ131:AK131"/>
    <mergeCell ref="AJ132:AK132"/>
    <mergeCell ref="AJ133:AK133"/>
    <mergeCell ref="AB124:AC124"/>
    <mergeCell ref="AA115:AA117"/>
    <mergeCell ref="Y115:Y117"/>
    <mergeCell ref="AB135:AC135"/>
    <mergeCell ref="AE115:AE117"/>
    <mergeCell ref="AG115:AG117"/>
    <mergeCell ref="AI115:AI117"/>
    <mergeCell ref="AH115:AH117"/>
    <mergeCell ref="AJ115:AK115"/>
    <mergeCell ref="AJ116:AK116"/>
    <mergeCell ref="AJ117:AK117"/>
    <mergeCell ref="AJ118:AK118"/>
    <mergeCell ref="AB123:AC123"/>
    <mergeCell ref="AB122:AC122"/>
    <mergeCell ref="AB121:AC121"/>
    <mergeCell ref="AB120:AC120"/>
    <mergeCell ref="AB119:AC119"/>
    <mergeCell ref="AB118:AC118"/>
    <mergeCell ref="AJ119:AK119"/>
    <mergeCell ref="AJ120:AK120"/>
    <mergeCell ref="AJ121:AK121"/>
    <mergeCell ref="AJ122:AK122"/>
    <mergeCell ref="AJ123:AK123"/>
    <mergeCell ref="AJ124:AK124"/>
    <mergeCell ref="H155:I155"/>
    <mergeCell ref="H156:I156"/>
    <mergeCell ref="H157:I157"/>
    <mergeCell ref="H158:I158"/>
    <mergeCell ref="T115:T117"/>
    <mergeCell ref="U115:U117"/>
    <mergeCell ref="W115:W117"/>
    <mergeCell ref="AB177:AC177"/>
    <mergeCell ref="AB176:AC176"/>
    <mergeCell ref="AB175:AC175"/>
    <mergeCell ref="AB174:AC174"/>
    <mergeCell ref="AB173:AC173"/>
    <mergeCell ref="AB172:AC172"/>
    <mergeCell ref="AB171:AC171"/>
    <mergeCell ref="AB134:AC134"/>
    <mergeCell ref="AB133:AC133"/>
    <mergeCell ref="AB132:AC132"/>
    <mergeCell ref="AB131:AC131"/>
    <mergeCell ref="AB130:AC130"/>
    <mergeCell ref="AB129:AC129"/>
    <mergeCell ref="AB128:AC128"/>
    <mergeCell ref="AB127:AC127"/>
    <mergeCell ref="AB126:AC126"/>
    <mergeCell ref="AB125:AC125"/>
    <mergeCell ref="F117:G117"/>
    <mergeCell ref="L117:M117"/>
    <mergeCell ref="P117:Q117"/>
    <mergeCell ref="R117:S117"/>
    <mergeCell ref="L177:M177"/>
    <mergeCell ref="R115:S115"/>
    <mergeCell ref="R133:S133"/>
    <mergeCell ref="R131:S131"/>
    <mergeCell ref="H116:I116"/>
    <mergeCell ref="J116:K116"/>
    <mergeCell ref="L116:M116"/>
    <mergeCell ref="P116:Q116"/>
    <mergeCell ref="R116:S116"/>
    <mergeCell ref="H117:I117"/>
    <mergeCell ref="J117:K117"/>
    <mergeCell ref="R122:S122"/>
    <mergeCell ref="R129:S129"/>
    <mergeCell ref="J129:K129"/>
    <mergeCell ref="L129:M129"/>
    <mergeCell ref="P129:Q129"/>
    <mergeCell ref="R132:S132"/>
    <mergeCell ref="H152:I152"/>
    <mergeCell ref="H153:I153"/>
    <mergeCell ref="H154:I154"/>
    <mergeCell ref="B1:E1"/>
    <mergeCell ref="F1:F3"/>
    <mergeCell ref="G1:K1"/>
    <mergeCell ref="L1:M1"/>
    <mergeCell ref="N1:O1"/>
    <mergeCell ref="B2:E3"/>
    <mergeCell ref="G2:K2"/>
    <mergeCell ref="L2:M2"/>
    <mergeCell ref="N2:O2"/>
    <mergeCell ref="G3:K3"/>
    <mergeCell ref="AB79:AC84"/>
    <mergeCell ref="L3:M3"/>
    <mergeCell ref="N3:O3"/>
    <mergeCell ref="D6:H6"/>
    <mergeCell ref="B9:B18"/>
    <mergeCell ref="B19:B28"/>
    <mergeCell ref="B29:B38"/>
    <mergeCell ref="B39:B48"/>
    <mergeCell ref="B49:B58"/>
    <mergeCell ref="B59:B68"/>
    <mergeCell ref="P9:P28"/>
    <mergeCell ref="P29:P48"/>
    <mergeCell ref="P49:P68"/>
    <mergeCell ref="F121:G121"/>
    <mergeCell ref="H121:I121"/>
    <mergeCell ref="J121:K121"/>
    <mergeCell ref="L121:M121"/>
    <mergeCell ref="A9:A28"/>
    <mergeCell ref="A29:A48"/>
    <mergeCell ref="A49:A68"/>
    <mergeCell ref="U104:V104"/>
    <mergeCell ref="U105:V105"/>
    <mergeCell ref="I100:J100"/>
    <mergeCell ref="G100:H100"/>
    <mergeCell ref="D100:E100"/>
    <mergeCell ref="I99:J99"/>
    <mergeCell ref="I98:J98"/>
    <mergeCell ref="G98:H99"/>
    <mergeCell ref="A110:B111"/>
    <mergeCell ref="C110:C111"/>
    <mergeCell ref="D110:D111"/>
    <mergeCell ref="A113:A114"/>
    <mergeCell ref="P115:Q115"/>
    <mergeCell ref="I101:J101"/>
    <mergeCell ref="D116:E117"/>
    <mergeCell ref="F116:G116"/>
    <mergeCell ref="J114:R114"/>
    <mergeCell ref="D118:E118"/>
    <mergeCell ref="F118:G118"/>
    <mergeCell ref="H118:I118"/>
    <mergeCell ref="J118:K118"/>
    <mergeCell ref="L118:M118"/>
    <mergeCell ref="P118:Q118"/>
    <mergeCell ref="R118:S118"/>
    <mergeCell ref="P121:Q121"/>
    <mergeCell ref="R121:S121"/>
    <mergeCell ref="D120:E120"/>
    <mergeCell ref="F120:G120"/>
    <mergeCell ref="H120:I120"/>
    <mergeCell ref="J120:K120"/>
    <mergeCell ref="L120:M120"/>
    <mergeCell ref="P120:Q120"/>
    <mergeCell ref="D119:E119"/>
    <mergeCell ref="F119:G119"/>
    <mergeCell ref="H119:I119"/>
    <mergeCell ref="J119:K119"/>
    <mergeCell ref="L119:M119"/>
    <mergeCell ref="P119:Q119"/>
    <mergeCell ref="R119:S119"/>
    <mergeCell ref="R120:S120"/>
    <mergeCell ref="D121:E121"/>
    <mergeCell ref="D123:E123"/>
    <mergeCell ref="F123:G123"/>
    <mergeCell ref="H123:I123"/>
    <mergeCell ref="J123:K123"/>
    <mergeCell ref="L123:M123"/>
    <mergeCell ref="P123:Q123"/>
    <mergeCell ref="R123:S123"/>
    <mergeCell ref="D122:E122"/>
    <mergeCell ref="F122:G122"/>
    <mergeCell ref="H122:I122"/>
    <mergeCell ref="J122:K122"/>
    <mergeCell ref="L122:M122"/>
    <mergeCell ref="P122:Q122"/>
    <mergeCell ref="F126:G126"/>
    <mergeCell ref="H126:I126"/>
    <mergeCell ref="J126:K126"/>
    <mergeCell ref="L126:M126"/>
    <mergeCell ref="P126:Q126"/>
    <mergeCell ref="R126:S126"/>
    <mergeCell ref="R124:S124"/>
    <mergeCell ref="D125:E125"/>
    <mergeCell ref="F125:G125"/>
    <mergeCell ref="H125:I125"/>
    <mergeCell ref="J125:K125"/>
    <mergeCell ref="L125:M125"/>
    <mergeCell ref="P125:Q125"/>
    <mergeCell ref="R125:S125"/>
    <mergeCell ref="D126:E126"/>
    <mergeCell ref="D124:E124"/>
    <mergeCell ref="F124:G124"/>
    <mergeCell ref="H124:I124"/>
    <mergeCell ref="J124:K124"/>
    <mergeCell ref="L124:M124"/>
    <mergeCell ref="P124:Q124"/>
    <mergeCell ref="D130:E130"/>
    <mergeCell ref="F130:G130"/>
    <mergeCell ref="H130:I130"/>
    <mergeCell ref="J130:K130"/>
    <mergeCell ref="L130:M130"/>
    <mergeCell ref="P130:Q130"/>
    <mergeCell ref="R130:S130"/>
    <mergeCell ref="D129:E129"/>
    <mergeCell ref="R127:S127"/>
    <mergeCell ref="D128:E128"/>
    <mergeCell ref="F128:G128"/>
    <mergeCell ref="H128:I128"/>
    <mergeCell ref="J128:K128"/>
    <mergeCell ref="L128:M128"/>
    <mergeCell ref="P128:Q128"/>
    <mergeCell ref="R128:S128"/>
    <mergeCell ref="D127:E127"/>
    <mergeCell ref="F127:G127"/>
    <mergeCell ref="H127:I127"/>
    <mergeCell ref="J127:K127"/>
    <mergeCell ref="L127:M127"/>
    <mergeCell ref="P127:Q127"/>
    <mergeCell ref="F129:G129"/>
    <mergeCell ref="H129:I129"/>
    <mergeCell ref="F133:G133"/>
    <mergeCell ref="H133:I133"/>
    <mergeCell ref="J133:K133"/>
    <mergeCell ref="L133:M133"/>
    <mergeCell ref="P133:Q133"/>
    <mergeCell ref="D132:E132"/>
    <mergeCell ref="F132:G132"/>
    <mergeCell ref="H132:I132"/>
    <mergeCell ref="J132:K132"/>
    <mergeCell ref="L132:M132"/>
    <mergeCell ref="P132:Q132"/>
    <mergeCell ref="D133:E133"/>
    <mergeCell ref="D131:E131"/>
    <mergeCell ref="F131:G131"/>
    <mergeCell ref="H131:I131"/>
    <mergeCell ref="J131:K131"/>
    <mergeCell ref="L131:M131"/>
    <mergeCell ref="P131:Q131"/>
    <mergeCell ref="R134:S134"/>
    <mergeCell ref="D171:E171"/>
    <mergeCell ref="F171:G171"/>
    <mergeCell ref="H171:I171"/>
    <mergeCell ref="J171:K171"/>
    <mergeCell ref="L171:M171"/>
    <mergeCell ref="P171:Q171"/>
    <mergeCell ref="R171:S171"/>
    <mergeCell ref="D134:E134"/>
    <mergeCell ref="F134:G134"/>
    <mergeCell ref="H134:I134"/>
    <mergeCell ref="J134:K134"/>
    <mergeCell ref="L134:M134"/>
    <mergeCell ref="P134:Q134"/>
    <mergeCell ref="D158:E158"/>
    <mergeCell ref="D159:E159"/>
    <mergeCell ref="D160:E160"/>
    <mergeCell ref="D161:E161"/>
    <mergeCell ref="D172:E172"/>
    <mergeCell ref="F172:G172"/>
    <mergeCell ref="H172:I172"/>
    <mergeCell ref="J172:K172"/>
    <mergeCell ref="L172:M172"/>
    <mergeCell ref="P172:Q172"/>
    <mergeCell ref="R174:S174"/>
    <mergeCell ref="J178:K178"/>
    <mergeCell ref="J179:K179"/>
    <mergeCell ref="L179:M179"/>
    <mergeCell ref="P179:Q179"/>
    <mergeCell ref="D175:E175"/>
    <mergeCell ref="R172:S172"/>
    <mergeCell ref="D173:E173"/>
    <mergeCell ref="F173:G173"/>
    <mergeCell ref="H173:I173"/>
    <mergeCell ref="J173:K173"/>
    <mergeCell ref="L173:M173"/>
    <mergeCell ref="P173:Q173"/>
    <mergeCell ref="R173:S173"/>
    <mergeCell ref="R175:S175"/>
    <mergeCell ref="R176:S176"/>
    <mergeCell ref="R177:S177"/>
    <mergeCell ref="P175:Q175"/>
    <mergeCell ref="J180:K180"/>
    <mergeCell ref="L180:M180"/>
    <mergeCell ref="P180:Q180"/>
    <mergeCell ref="D174:E174"/>
    <mergeCell ref="F174:G174"/>
    <mergeCell ref="H174:I174"/>
    <mergeCell ref="J174:K174"/>
    <mergeCell ref="L174:M174"/>
    <mergeCell ref="P174:Q174"/>
    <mergeCell ref="D176:E176"/>
    <mergeCell ref="D177:E177"/>
    <mergeCell ref="F175:G175"/>
    <mergeCell ref="F176:G176"/>
    <mergeCell ref="F177:G177"/>
    <mergeCell ref="H175:I175"/>
    <mergeCell ref="H176:I176"/>
    <mergeCell ref="H177:I177"/>
    <mergeCell ref="J175:K175"/>
    <mergeCell ref="J176:K176"/>
    <mergeCell ref="P176:Q176"/>
    <mergeCell ref="P177:Q177"/>
    <mergeCell ref="J177:K177"/>
    <mergeCell ref="L175:M175"/>
    <mergeCell ref="L176:M176"/>
    <mergeCell ref="J183:K183"/>
    <mergeCell ref="L183:M183"/>
    <mergeCell ref="P183:Q183"/>
    <mergeCell ref="I184:J184"/>
    <mergeCell ref="K184:L184"/>
    <mergeCell ref="J181:K181"/>
    <mergeCell ref="L181:M181"/>
    <mergeCell ref="P181:Q181"/>
    <mergeCell ref="J182:K182"/>
    <mergeCell ref="L182:M182"/>
    <mergeCell ref="P182:Q182"/>
    <mergeCell ref="I185:J185"/>
    <mergeCell ref="I186:J186"/>
    <mergeCell ref="I187:J187"/>
    <mergeCell ref="K187:L187"/>
    <mergeCell ref="O187:P187"/>
    <mergeCell ref="H227:I227"/>
    <mergeCell ref="J227:M227"/>
    <mergeCell ref="N227:Q227"/>
    <mergeCell ref="H222:I222"/>
    <mergeCell ref="J222:U222"/>
    <mergeCell ref="H223:I223"/>
    <mergeCell ref="J223:M224"/>
    <mergeCell ref="N223:Q224"/>
    <mergeCell ref="R223:U224"/>
    <mergeCell ref="H224:I224"/>
    <mergeCell ref="R227:U227"/>
    <mergeCell ref="H225:I225"/>
    <mergeCell ref="J225:M225"/>
    <mergeCell ref="N225:Q225"/>
    <mergeCell ref="R225:U225"/>
    <mergeCell ref="H226:I226"/>
    <mergeCell ref="J226:M226"/>
    <mergeCell ref="N226:Q226"/>
    <mergeCell ref="R226:U226"/>
    <mergeCell ref="X228:AA228"/>
    <mergeCell ref="H229:I229"/>
    <mergeCell ref="J229:M229"/>
    <mergeCell ref="N229:Q229"/>
    <mergeCell ref="R229:U229"/>
    <mergeCell ref="H230:I230"/>
    <mergeCell ref="J230:M230"/>
    <mergeCell ref="N230:Q230"/>
    <mergeCell ref="R230:U230"/>
    <mergeCell ref="H228:I228"/>
    <mergeCell ref="J228:M228"/>
    <mergeCell ref="N228:Q228"/>
    <mergeCell ref="R228:U228"/>
    <mergeCell ref="H233:I233"/>
    <mergeCell ref="J233:M233"/>
    <mergeCell ref="N233:Q233"/>
    <mergeCell ref="R233:U233"/>
    <mergeCell ref="H231:I231"/>
    <mergeCell ref="J231:M231"/>
    <mergeCell ref="N231:Q231"/>
    <mergeCell ref="R231:U231"/>
    <mergeCell ref="H232:I232"/>
    <mergeCell ref="J232:M232"/>
    <mergeCell ref="N232:Q232"/>
    <mergeCell ref="R232:U232"/>
    <mergeCell ref="F98:F99"/>
    <mergeCell ref="D98:E99"/>
    <mergeCell ref="C98:C99"/>
    <mergeCell ref="B98:B99"/>
    <mergeCell ref="C97:F97"/>
    <mergeCell ref="A118:A137"/>
    <mergeCell ref="B118:B127"/>
    <mergeCell ref="B128:B137"/>
    <mergeCell ref="A138:A157"/>
    <mergeCell ref="B138:B147"/>
    <mergeCell ref="B148:B157"/>
    <mergeCell ref="D156:E156"/>
    <mergeCell ref="D157:E157"/>
    <mergeCell ref="F135:G135"/>
    <mergeCell ref="F136:G136"/>
    <mergeCell ref="F137:G137"/>
    <mergeCell ref="F138:G138"/>
    <mergeCell ref="F139:G139"/>
    <mergeCell ref="F140:G140"/>
    <mergeCell ref="F141:G141"/>
    <mergeCell ref="F142:G142"/>
    <mergeCell ref="F143:G143"/>
    <mergeCell ref="F144:G144"/>
    <mergeCell ref="F145:G145"/>
    <mergeCell ref="A158:A177"/>
    <mergeCell ref="B158:B167"/>
    <mergeCell ref="B168:B177"/>
    <mergeCell ref="D135:E135"/>
    <mergeCell ref="D136:E136"/>
    <mergeCell ref="D137:E137"/>
    <mergeCell ref="D138:E138"/>
    <mergeCell ref="D139:E139"/>
    <mergeCell ref="D140:E140"/>
    <mergeCell ref="D141:E141"/>
    <mergeCell ref="D142:E142"/>
    <mergeCell ref="D143:E143"/>
    <mergeCell ref="D144:E144"/>
    <mergeCell ref="D145:E145"/>
    <mergeCell ref="D146:E146"/>
    <mergeCell ref="D147:E147"/>
    <mergeCell ref="D148:E148"/>
    <mergeCell ref="D149:E149"/>
    <mergeCell ref="D150:E150"/>
    <mergeCell ref="D151:E151"/>
    <mergeCell ref="D152:E152"/>
    <mergeCell ref="D153:E153"/>
    <mergeCell ref="D154:E154"/>
    <mergeCell ref="D155:E155"/>
    <mergeCell ref="D162:E162"/>
    <mergeCell ref="D163:E163"/>
    <mergeCell ref="D164:E164"/>
    <mergeCell ref="D165:E165"/>
    <mergeCell ref="D166:E166"/>
    <mergeCell ref="D167:E167"/>
    <mergeCell ref="D168:E168"/>
    <mergeCell ref="D169:E169"/>
    <mergeCell ref="D170:E170"/>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H135:I135"/>
    <mergeCell ref="H136:I136"/>
    <mergeCell ref="H137:I137"/>
    <mergeCell ref="H138:I138"/>
    <mergeCell ref="H139:I139"/>
    <mergeCell ref="H140:I140"/>
    <mergeCell ref="H141:I141"/>
    <mergeCell ref="H142:I142"/>
    <mergeCell ref="H143:I143"/>
    <mergeCell ref="H144:I144"/>
    <mergeCell ref="H145:I145"/>
    <mergeCell ref="H146:I146"/>
    <mergeCell ref="H147:I147"/>
    <mergeCell ref="H148:I148"/>
    <mergeCell ref="H149:I149"/>
    <mergeCell ref="H150:I150"/>
    <mergeCell ref="H151:I151"/>
    <mergeCell ref="H159:I159"/>
    <mergeCell ref="H160:I160"/>
    <mergeCell ref="H161:I161"/>
    <mergeCell ref="H162:I162"/>
    <mergeCell ref="H163:I163"/>
    <mergeCell ref="H164:I164"/>
    <mergeCell ref="H165:I165"/>
    <mergeCell ref="H166:I166"/>
    <mergeCell ref="H167:I167"/>
    <mergeCell ref="H168:I168"/>
    <mergeCell ref="H169:I169"/>
    <mergeCell ref="H170:I170"/>
    <mergeCell ref="J135:K135"/>
    <mergeCell ref="J136:K136"/>
    <mergeCell ref="J137:K137"/>
    <mergeCell ref="J138:K138"/>
    <mergeCell ref="J139:K139"/>
    <mergeCell ref="J140:K140"/>
    <mergeCell ref="J141:K141"/>
    <mergeCell ref="J142:K142"/>
    <mergeCell ref="J143:K143"/>
    <mergeCell ref="J144:K144"/>
    <mergeCell ref="J145:K145"/>
    <mergeCell ref="J146:K146"/>
    <mergeCell ref="J147:K147"/>
    <mergeCell ref="J148:K148"/>
    <mergeCell ref="J149:K149"/>
    <mergeCell ref="J150:K150"/>
    <mergeCell ref="J151:K151"/>
    <mergeCell ref="J152:K152"/>
    <mergeCell ref="J153:K153"/>
    <mergeCell ref="J154:K154"/>
    <mergeCell ref="J155:K155"/>
    <mergeCell ref="J156:K156"/>
    <mergeCell ref="J157:K157"/>
    <mergeCell ref="J158:K158"/>
    <mergeCell ref="J159:K159"/>
    <mergeCell ref="J160:K160"/>
    <mergeCell ref="J161:K161"/>
    <mergeCell ref="J162:K162"/>
    <mergeCell ref="J163:K163"/>
    <mergeCell ref="J164:K164"/>
    <mergeCell ref="J165:K165"/>
    <mergeCell ref="J166:K166"/>
    <mergeCell ref="J167:K167"/>
    <mergeCell ref="J168:K168"/>
    <mergeCell ref="J169:K169"/>
    <mergeCell ref="J170:K170"/>
    <mergeCell ref="L138:M138"/>
    <mergeCell ref="L139:M139"/>
    <mergeCell ref="L140:M140"/>
    <mergeCell ref="L141:M141"/>
    <mergeCell ref="L142:M142"/>
    <mergeCell ref="L143:M143"/>
    <mergeCell ref="L144:M144"/>
    <mergeCell ref="L145:M145"/>
    <mergeCell ref="L146:M146"/>
    <mergeCell ref="L147:M147"/>
    <mergeCell ref="L154:M154"/>
    <mergeCell ref="L155:M155"/>
    <mergeCell ref="L156:M156"/>
    <mergeCell ref="L157:M157"/>
    <mergeCell ref="L158:M158"/>
    <mergeCell ref="L159:M159"/>
    <mergeCell ref="L160:M160"/>
    <mergeCell ref="L161:M161"/>
    <mergeCell ref="L162:M162"/>
    <mergeCell ref="L163:M163"/>
    <mergeCell ref="L164:M164"/>
    <mergeCell ref="L165:M165"/>
    <mergeCell ref="L166:M166"/>
    <mergeCell ref="L167:M167"/>
    <mergeCell ref="L168:M168"/>
    <mergeCell ref="L169:M169"/>
    <mergeCell ref="L170:M170"/>
    <mergeCell ref="L135:M135"/>
    <mergeCell ref="L136:M136"/>
    <mergeCell ref="L137:M137"/>
    <mergeCell ref="L148:M148"/>
    <mergeCell ref="L149:M149"/>
    <mergeCell ref="L150:M150"/>
    <mergeCell ref="L151:M151"/>
    <mergeCell ref="L152:M152"/>
    <mergeCell ref="L153:M153"/>
    <mergeCell ref="P135:Q135"/>
    <mergeCell ref="P136:Q136"/>
    <mergeCell ref="P137:Q137"/>
    <mergeCell ref="P138:Q138"/>
    <mergeCell ref="P139:Q139"/>
    <mergeCell ref="P140:Q140"/>
    <mergeCell ref="P141:Q141"/>
    <mergeCell ref="P142:Q142"/>
    <mergeCell ref="P143:Q143"/>
    <mergeCell ref="P144:Q144"/>
    <mergeCell ref="P145:Q145"/>
    <mergeCell ref="P146:Q146"/>
    <mergeCell ref="P147:Q147"/>
    <mergeCell ref="P148:Q148"/>
    <mergeCell ref="P149:Q149"/>
    <mergeCell ref="P150:Q150"/>
    <mergeCell ref="P151:Q151"/>
    <mergeCell ref="P152:Q152"/>
    <mergeCell ref="P153:Q153"/>
    <mergeCell ref="P154:Q154"/>
    <mergeCell ref="P155:Q155"/>
    <mergeCell ref="P156:Q156"/>
    <mergeCell ref="P157:Q157"/>
    <mergeCell ref="P158:Q158"/>
    <mergeCell ref="P159:Q159"/>
    <mergeCell ref="P160:Q160"/>
    <mergeCell ref="P161:Q161"/>
    <mergeCell ref="P162:Q162"/>
    <mergeCell ref="P163:Q163"/>
    <mergeCell ref="P164:Q164"/>
    <mergeCell ref="P165:Q165"/>
    <mergeCell ref="P166:Q166"/>
    <mergeCell ref="P167:Q167"/>
    <mergeCell ref="P168:Q168"/>
    <mergeCell ref="P169:Q169"/>
    <mergeCell ref="P170:Q170"/>
    <mergeCell ref="R153:S153"/>
    <mergeCell ref="R154:S154"/>
    <mergeCell ref="R155:S155"/>
    <mergeCell ref="R138:S138"/>
    <mergeCell ref="R139:S139"/>
    <mergeCell ref="R140:S140"/>
    <mergeCell ref="R141:S141"/>
    <mergeCell ref="R142:S142"/>
    <mergeCell ref="R143:S143"/>
    <mergeCell ref="R144:S144"/>
    <mergeCell ref="R145:S145"/>
    <mergeCell ref="R146:S146"/>
    <mergeCell ref="R165:S165"/>
    <mergeCell ref="R166:S166"/>
    <mergeCell ref="R167:S167"/>
    <mergeCell ref="R168:S168"/>
    <mergeCell ref="R169:S169"/>
    <mergeCell ref="R170:S170"/>
    <mergeCell ref="R135:S135"/>
    <mergeCell ref="R136:S136"/>
    <mergeCell ref="R137:S137"/>
    <mergeCell ref="R156:S156"/>
    <mergeCell ref="R157:S157"/>
    <mergeCell ref="R158:S158"/>
    <mergeCell ref="R159:S159"/>
    <mergeCell ref="R160:S160"/>
    <mergeCell ref="R161:S161"/>
    <mergeCell ref="R162:S162"/>
    <mergeCell ref="R163:S163"/>
    <mergeCell ref="R164:S164"/>
    <mergeCell ref="R147:S147"/>
    <mergeCell ref="R148:S148"/>
    <mergeCell ref="R149:S149"/>
    <mergeCell ref="R150:S150"/>
    <mergeCell ref="R151:S151"/>
    <mergeCell ref="R152:S152"/>
    <mergeCell ref="AB136:AC136"/>
    <mergeCell ref="AB137:AC137"/>
    <mergeCell ref="AB138:AC138"/>
    <mergeCell ref="AB139:AC139"/>
    <mergeCell ref="AB140:AC140"/>
    <mergeCell ref="AB141:AC141"/>
    <mergeCell ref="AB142:AC142"/>
    <mergeCell ref="AB143:AC143"/>
    <mergeCell ref="AB144:AC144"/>
    <mergeCell ref="AB145:AC145"/>
    <mergeCell ref="AB146:AC146"/>
    <mergeCell ref="AB147:AC147"/>
    <mergeCell ref="AB148:AC148"/>
    <mergeCell ref="AB149:AC149"/>
    <mergeCell ref="AB150:AC150"/>
    <mergeCell ref="AB151:AC151"/>
    <mergeCell ref="AB152:AC152"/>
    <mergeCell ref="AB153:AC153"/>
    <mergeCell ref="AB154:AC154"/>
    <mergeCell ref="AB155:AC155"/>
    <mergeCell ref="AB156:AC156"/>
    <mergeCell ref="AB157:AC157"/>
    <mergeCell ref="AB158:AC158"/>
    <mergeCell ref="AB159:AC159"/>
    <mergeCell ref="AB160:AC160"/>
    <mergeCell ref="AB161:AC161"/>
    <mergeCell ref="AB162:AC162"/>
    <mergeCell ref="AB163:AC163"/>
    <mergeCell ref="AB164:AC164"/>
    <mergeCell ref="AB165:AC165"/>
    <mergeCell ref="AB166:AC166"/>
    <mergeCell ref="AB167:AC167"/>
    <mergeCell ref="AB168:AC168"/>
    <mergeCell ref="AB169:AC169"/>
    <mergeCell ref="AB170:AC170"/>
    <mergeCell ref="AJ135:AK135"/>
    <mergeCell ref="AJ136:AK136"/>
    <mergeCell ref="AJ137:AK137"/>
    <mergeCell ref="AJ138:AK138"/>
    <mergeCell ref="AJ139:AK139"/>
    <mergeCell ref="AJ140:AK140"/>
    <mergeCell ref="AJ141:AK141"/>
    <mergeCell ref="AJ142:AK142"/>
    <mergeCell ref="AJ143:AK143"/>
    <mergeCell ref="AJ144:AK144"/>
    <mergeCell ref="AJ145:AK145"/>
    <mergeCell ref="AJ146:AK146"/>
    <mergeCell ref="AJ147:AK147"/>
    <mergeCell ref="AJ148:AK148"/>
    <mergeCell ref="AJ149:AK149"/>
    <mergeCell ref="AJ150:AK150"/>
    <mergeCell ref="AL135:AM135"/>
    <mergeCell ref="AL136:AM136"/>
    <mergeCell ref="AL137:AM137"/>
    <mergeCell ref="AL138:AM138"/>
    <mergeCell ref="AL139:AM139"/>
    <mergeCell ref="AL140:AM140"/>
    <mergeCell ref="AL141:AM141"/>
    <mergeCell ref="AL142:AM142"/>
    <mergeCell ref="AL143:AM143"/>
    <mergeCell ref="AJ168:AK168"/>
    <mergeCell ref="AJ169:AK169"/>
    <mergeCell ref="AJ170:AK170"/>
    <mergeCell ref="AL153:AM153"/>
    <mergeCell ref="AN163:AO163"/>
    <mergeCell ref="AN164:AO164"/>
    <mergeCell ref="AN165:AO165"/>
    <mergeCell ref="AN166:AO166"/>
    <mergeCell ref="AN167:AO167"/>
    <mergeCell ref="AN168:AO168"/>
    <mergeCell ref="AN169:AO169"/>
    <mergeCell ref="AN170:AO170"/>
    <mergeCell ref="AL169:AM169"/>
    <mergeCell ref="AL170:AM170"/>
    <mergeCell ref="AN162:AO162"/>
    <mergeCell ref="AN153:AO153"/>
    <mergeCell ref="AN154:AO154"/>
    <mergeCell ref="AN155:AO155"/>
    <mergeCell ref="AN156:AO156"/>
    <mergeCell ref="AN158:AO158"/>
    <mergeCell ref="AN159:AO159"/>
    <mergeCell ref="AN160:AO160"/>
    <mergeCell ref="AN161:AO161"/>
    <mergeCell ref="AN136:AO136"/>
    <mergeCell ref="AN137:AO137"/>
    <mergeCell ref="AN138:AO138"/>
    <mergeCell ref="AN139:AO139"/>
    <mergeCell ref="AN140:AO140"/>
    <mergeCell ref="AN141:AO141"/>
    <mergeCell ref="AN142:AO142"/>
    <mergeCell ref="AN143:AO143"/>
    <mergeCell ref="AJ167:AK167"/>
    <mergeCell ref="AL144:AM144"/>
    <mergeCell ref="AL145:AM145"/>
    <mergeCell ref="AL146:AM146"/>
    <mergeCell ref="AL147:AM147"/>
    <mergeCell ref="AL148:AM148"/>
    <mergeCell ref="AL149:AM149"/>
    <mergeCell ref="AL150:AM150"/>
    <mergeCell ref="AL151:AM151"/>
    <mergeCell ref="AL152:AM152"/>
    <mergeCell ref="AN144:AO144"/>
    <mergeCell ref="AN145:AO145"/>
    <mergeCell ref="AN146:AO146"/>
    <mergeCell ref="AN147:AO147"/>
    <mergeCell ref="AN148:AO148"/>
    <mergeCell ref="AN149:AO149"/>
  </mergeCell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A1:X171"/>
  <sheetViews>
    <sheetView zoomScale="80" zoomScaleNormal="80" zoomScalePageLayoutView="190" workbookViewId="0">
      <selection activeCell="L60" sqref="L60:M60"/>
    </sheetView>
  </sheetViews>
  <sheetFormatPr baseColWidth="10" defaultColWidth="8.83203125" defaultRowHeight="15"/>
  <cols>
    <col min="1" max="3" width="12.6640625" style="19" customWidth="1"/>
    <col min="4" max="4" width="12.6640625" style="25" customWidth="1"/>
    <col min="5" max="8" width="12.6640625" style="19" customWidth="1"/>
    <col min="9" max="9" width="12.6640625" style="25" customWidth="1"/>
    <col min="10" max="15" width="12.6640625" style="19" customWidth="1"/>
  </cols>
  <sheetData>
    <row r="1" spans="1:19">
      <c r="A1" s="1" t="s">
        <v>0</v>
      </c>
      <c r="B1" s="1402" t="s">
        <v>566</v>
      </c>
      <c r="C1" s="1403"/>
      <c r="D1" s="1403"/>
      <c r="E1" s="1404"/>
      <c r="F1" s="1411"/>
      <c r="G1" s="1402" t="s">
        <v>567</v>
      </c>
      <c r="H1" s="1403"/>
      <c r="I1" s="1403"/>
      <c r="J1" s="1403"/>
      <c r="K1" s="1404"/>
      <c r="L1" s="1405" t="s">
        <v>5</v>
      </c>
      <c r="M1" s="1405"/>
      <c r="N1" s="1405" t="s">
        <v>6</v>
      </c>
      <c r="O1" s="1405"/>
    </row>
    <row r="2" spans="1:19" ht="15" customHeight="1">
      <c r="A2" s="47">
        <v>1</v>
      </c>
      <c r="B2" s="1359" t="s">
        <v>39</v>
      </c>
      <c r="C2" s="1360"/>
      <c r="D2" s="1360"/>
      <c r="E2" s="1361"/>
      <c r="F2" s="1412"/>
      <c r="G2" s="1414" t="s">
        <v>578</v>
      </c>
      <c r="H2" s="1415"/>
      <c r="I2" s="1415"/>
      <c r="J2" s="1415"/>
      <c r="K2" s="1416"/>
      <c r="L2" s="1406" t="s">
        <v>573</v>
      </c>
      <c r="M2" s="1407"/>
      <c r="N2" s="1406" t="s">
        <v>772</v>
      </c>
      <c r="O2" s="1407"/>
    </row>
    <row r="3" spans="1:19" ht="15" customHeight="1">
      <c r="A3" s="48" t="s">
        <v>62</v>
      </c>
      <c r="B3" s="1362"/>
      <c r="C3" s="1363"/>
      <c r="D3" s="1363"/>
      <c r="E3" s="1364"/>
      <c r="F3" s="1413"/>
      <c r="G3" s="1354" t="s">
        <v>833</v>
      </c>
      <c r="H3" s="1355"/>
      <c r="I3" s="1355"/>
      <c r="J3" s="1355"/>
      <c r="K3" s="1356"/>
      <c r="L3" s="1357" t="s">
        <v>1028</v>
      </c>
      <c r="M3" s="1358"/>
      <c r="N3" s="1357" t="s">
        <v>773</v>
      </c>
      <c r="O3" s="1358"/>
    </row>
    <row r="4" spans="1:19">
      <c r="G4"/>
    </row>
    <row r="5" spans="1:19" ht="16" thickBot="1"/>
    <row r="6" spans="1:19" s="4" customFormat="1" ht="15" customHeight="1">
      <c r="A6" s="1420" t="s">
        <v>807</v>
      </c>
      <c r="B6" s="731" t="s">
        <v>36</v>
      </c>
      <c r="C6" s="732"/>
      <c r="D6" s="12" t="s">
        <v>26</v>
      </c>
      <c r="E6" s="13" t="s">
        <v>15</v>
      </c>
      <c r="F6" s="12" t="s">
        <v>30</v>
      </c>
      <c r="G6" s="97"/>
      <c r="H6" s="243"/>
      <c r="I6" s="1408" t="s">
        <v>37</v>
      </c>
      <c r="J6" s="1409"/>
      <c r="K6" s="13" t="s">
        <v>26</v>
      </c>
      <c r="L6" s="13" t="s">
        <v>15</v>
      </c>
      <c r="M6" s="12" t="s">
        <v>30</v>
      </c>
      <c r="Q6"/>
      <c r="R6"/>
      <c r="S6"/>
    </row>
    <row r="7" spans="1:19" ht="15" customHeight="1">
      <c r="A7" s="1421"/>
      <c r="B7" s="733"/>
      <c r="C7" s="734"/>
      <c r="D7" s="23" t="s">
        <v>27</v>
      </c>
      <c r="E7" s="152" t="s">
        <v>28</v>
      </c>
      <c r="F7" s="23" t="s">
        <v>29</v>
      </c>
      <c r="H7" s="243"/>
      <c r="I7" s="1350"/>
      <c r="J7" s="1410"/>
      <c r="K7" s="24" t="s">
        <v>27</v>
      </c>
      <c r="L7" s="24" t="s">
        <v>28</v>
      </c>
      <c r="M7" s="23" t="s">
        <v>29</v>
      </c>
      <c r="Q7" s="129"/>
    </row>
    <row r="8" spans="1:19" ht="15" customHeight="1">
      <c r="A8" s="1421"/>
      <c r="B8" s="735"/>
      <c r="C8" s="736"/>
      <c r="D8" s="362" t="s">
        <v>32</v>
      </c>
      <c r="E8" s="362" t="s">
        <v>127</v>
      </c>
      <c r="F8" s="361" t="s">
        <v>33</v>
      </c>
      <c r="H8" s="243"/>
      <c r="I8" s="1385"/>
      <c r="J8" s="1387"/>
      <c r="K8" s="77" t="s">
        <v>32</v>
      </c>
      <c r="L8" s="77" t="s">
        <v>127</v>
      </c>
      <c r="M8" s="74" t="s">
        <v>33</v>
      </c>
      <c r="Q8" s="129"/>
    </row>
    <row r="9" spans="1:19" ht="15" customHeight="1">
      <c r="A9" s="1421"/>
      <c r="B9" s="729" t="s">
        <v>9</v>
      </c>
      <c r="C9" s="730"/>
      <c r="D9" s="363">
        <v>14.82</v>
      </c>
      <c r="E9" s="363">
        <v>2.7</v>
      </c>
      <c r="F9" s="363">
        <f t="shared" ref="F9:F18" si="0">D9*E9</f>
        <v>40.014000000000003</v>
      </c>
      <c r="H9" s="20" t="s">
        <v>661</v>
      </c>
      <c r="I9" s="1418" t="s">
        <v>23</v>
      </c>
      <c r="J9" s="1418"/>
      <c r="K9" s="320">
        <f>18.8*18.8</f>
        <v>353.44000000000005</v>
      </c>
      <c r="L9" s="414">
        <v>1.075</v>
      </c>
      <c r="M9" s="244">
        <f>(K9*L9)/3</f>
        <v>126.64933333333335</v>
      </c>
      <c r="O9" s="1422" t="s">
        <v>38</v>
      </c>
      <c r="P9" s="1423"/>
      <c r="Q9" s="540">
        <f>18.9*18.9</f>
        <v>357.20999999999992</v>
      </c>
    </row>
    <row r="10" spans="1:19" ht="15" customHeight="1">
      <c r="A10" s="1421"/>
      <c r="B10" s="729" t="s">
        <v>804</v>
      </c>
      <c r="C10" s="730"/>
      <c r="D10" s="363">
        <v>37.56</v>
      </c>
      <c r="E10" s="718">
        <v>2.7</v>
      </c>
      <c r="F10" s="375">
        <f t="shared" ref="F10:F17" si="1">D10*E10</f>
        <v>101.41200000000001</v>
      </c>
      <c r="I10" s="1419" t="s">
        <v>16</v>
      </c>
      <c r="J10" s="1419"/>
      <c r="K10" s="541">
        <f>2.6*2.9+6.4*1.3+0.35*3</f>
        <v>16.91</v>
      </c>
      <c r="L10" s="414">
        <f>(E9+0.3)*7</f>
        <v>21</v>
      </c>
      <c r="M10" s="244">
        <f>K10*L10</f>
        <v>355.11</v>
      </c>
      <c r="Q10" s="129"/>
    </row>
    <row r="11" spans="1:19" ht="15" customHeight="1">
      <c r="A11" s="1421"/>
      <c r="B11" s="729" t="s">
        <v>586</v>
      </c>
      <c r="C11" s="730"/>
      <c r="D11" s="363">
        <f>2.09*2.86</f>
        <v>5.9773999999999994</v>
      </c>
      <c r="E11" s="718">
        <v>2.7</v>
      </c>
      <c r="F11" s="375">
        <f t="shared" si="1"/>
        <v>16.13898</v>
      </c>
      <c r="I11" s="1419" t="s">
        <v>805</v>
      </c>
      <c r="J11" s="1419"/>
      <c r="K11" s="701">
        <f>1.8*2.7</f>
        <v>4.8600000000000003</v>
      </c>
      <c r="L11" s="718">
        <f>E9</f>
        <v>2.7</v>
      </c>
      <c r="M11" s="244">
        <f t="shared" ref="M11:M12" si="2">K11*L11</f>
        <v>13.122000000000002</v>
      </c>
      <c r="N11" s="15"/>
      <c r="O11" s="14"/>
      <c r="P11" s="14"/>
      <c r="Q11" s="129"/>
    </row>
    <row r="12" spans="1:19" ht="15" customHeight="1">
      <c r="A12" s="1421"/>
      <c r="B12" s="729" t="s">
        <v>587</v>
      </c>
      <c r="C12" s="730"/>
      <c r="D12" s="700">
        <v>5.52</v>
      </c>
      <c r="E12" s="718">
        <v>2.7</v>
      </c>
      <c r="F12" s="700">
        <f t="shared" ref="F12" si="3">D12*E12</f>
        <v>14.904</v>
      </c>
      <c r="I12" s="1418" t="s">
        <v>806</v>
      </c>
      <c r="J12" s="1418"/>
      <c r="K12" s="320">
        <f t="shared" ref="K12" si="4">2.6*2.9+6.4*1.3+0.35*3</f>
        <v>16.91</v>
      </c>
      <c r="L12" s="700">
        <f>(E9+0.3)*7</f>
        <v>21</v>
      </c>
      <c r="M12" s="244">
        <f t="shared" si="2"/>
        <v>355.11</v>
      </c>
      <c r="N12" s="15"/>
      <c r="O12" s="14"/>
      <c r="P12" s="14"/>
      <c r="Q12" s="129"/>
    </row>
    <row r="13" spans="1:19" ht="15" customHeight="1">
      <c r="A13" s="1421"/>
      <c r="B13" s="729" t="s">
        <v>803</v>
      </c>
      <c r="C13" s="730"/>
      <c r="D13" s="363">
        <v>2.38</v>
      </c>
      <c r="E13" s="718">
        <v>2.7</v>
      </c>
      <c r="F13" s="375">
        <f t="shared" si="1"/>
        <v>6.4260000000000002</v>
      </c>
      <c r="G13" s="2"/>
      <c r="H13" s="2"/>
      <c r="N13" s="16"/>
      <c r="O13" s="16"/>
      <c r="P13" s="16"/>
      <c r="Q13" s="129"/>
    </row>
    <row r="14" spans="1:19" ht="15" customHeight="1">
      <c r="A14" s="1421"/>
      <c r="B14" s="729" t="s">
        <v>19</v>
      </c>
      <c r="C14" s="730"/>
      <c r="D14" s="363">
        <v>20.149999999999999</v>
      </c>
      <c r="E14" s="718">
        <v>2.7</v>
      </c>
      <c r="F14" s="375">
        <f t="shared" si="1"/>
        <v>54.405000000000001</v>
      </c>
      <c r="G14" s="2"/>
      <c r="H14" s="376"/>
      <c r="N14" s="377"/>
      <c r="O14" s="16"/>
      <c r="P14" s="16"/>
      <c r="Q14" s="129"/>
    </row>
    <row r="15" spans="1:19" ht="15" customHeight="1">
      <c r="A15" s="1421"/>
      <c r="B15" s="729" t="s">
        <v>20</v>
      </c>
      <c r="C15" s="730"/>
      <c r="D15" s="700">
        <v>13.64</v>
      </c>
      <c r="E15" s="718">
        <v>2.7</v>
      </c>
      <c r="F15" s="700">
        <f t="shared" ref="F15" si="5">D15*E15</f>
        <v>36.828000000000003</v>
      </c>
      <c r="G15" s="2"/>
      <c r="H15" s="376"/>
      <c r="N15" s="377"/>
      <c r="O15" s="16"/>
      <c r="P15" s="16"/>
      <c r="Q15" s="129"/>
    </row>
    <row r="16" spans="1:19" ht="15" customHeight="1">
      <c r="A16" s="1421"/>
      <c r="B16" s="729" t="s">
        <v>802</v>
      </c>
      <c r="C16" s="730"/>
      <c r="D16" s="700">
        <f>4.45*3.5</f>
        <v>15.575000000000001</v>
      </c>
      <c r="E16" s="718">
        <v>2.7</v>
      </c>
      <c r="F16" s="700">
        <f t="shared" ref="F16" si="6">D16*E16</f>
        <v>42.052500000000009</v>
      </c>
      <c r="G16" s="2"/>
      <c r="H16" s="376"/>
      <c r="N16" s="377"/>
      <c r="O16" s="16"/>
      <c r="P16" s="16"/>
      <c r="Q16" s="129"/>
    </row>
    <row r="17" spans="1:17" ht="15" customHeight="1">
      <c r="A17" s="1421"/>
      <c r="B17" s="729" t="s">
        <v>22</v>
      </c>
      <c r="C17" s="730"/>
      <c r="D17" s="363">
        <f>1.8*2.63</f>
        <v>4.734</v>
      </c>
      <c r="E17" s="718">
        <v>2.7</v>
      </c>
      <c r="F17" s="375">
        <f t="shared" si="1"/>
        <v>12.7818</v>
      </c>
      <c r="H17" s="379"/>
      <c r="I17" s="378"/>
      <c r="J17" s="379"/>
      <c r="K17" s="379"/>
      <c r="L17" s="379"/>
      <c r="M17" s="379"/>
      <c r="N17" s="377"/>
      <c r="O17" s="16"/>
      <c r="P17" s="16"/>
      <c r="Q17" s="129"/>
    </row>
    <row r="18" spans="1:17" ht="15" customHeight="1">
      <c r="A18" s="1421"/>
      <c r="B18" s="729" t="s">
        <v>588</v>
      </c>
      <c r="C18" s="730"/>
      <c r="D18" s="363">
        <f>4.71+5.39</f>
        <v>10.1</v>
      </c>
      <c r="E18" s="718">
        <v>2.7</v>
      </c>
      <c r="F18" s="375">
        <f t="shared" si="0"/>
        <v>27.27</v>
      </c>
      <c r="N18" s="16"/>
      <c r="O18" s="16"/>
      <c r="P18" s="16"/>
    </row>
    <row r="19" spans="1:17" ht="15" customHeight="1">
      <c r="B19" s="3"/>
      <c r="C19" s="3"/>
      <c r="D19" s="417">
        <f>SUM(D9:D18)</f>
        <v>130.4564</v>
      </c>
      <c r="E19" s="26"/>
      <c r="F19" s="445">
        <f>SUM(F9:F18)</f>
        <v>352.23227999999995</v>
      </c>
      <c r="J19" s="702">
        <f>F19*2</f>
        <v>704.46455999999989</v>
      </c>
      <c r="N19" s="51">
        <f>J19*7</f>
        <v>4931.2519199999988</v>
      </c>
      <c r="O19" s="472" t="s">
        <v>630</v>
      </c>
      <c r="P19" s="19"/>
    </row>
    <row r="20" spans="1:17" ht="15" customHeight="1">
      <c r="B20" s="543"/>
      <c r="C20" s="737"/>
      <c r="D20" s="415" t="s">
        <v>624</v>
      </c>
      <c r="E20" s="470"/>
      <c r="F20" s="726" t="s">
        <v>629</v>
      </c>
      <c r="G20" s="727"/>
      <c r="H20" s="728"/>
      <c r="J20" s="726" t="s">
        <v>808</v>
      </c>
      <c r="K20" s="727"/>
      <c r="L20" s="728"/>
      <c r="N20" s="726" t="s">
        <v>811</v>
      </c>
      <c r="O20" s="727"/>
      <c r="P20" s="728"/>
    </row>
    <row r="21" spans="1:17">
      <c r="D21" s="11"/>
      <c r="E21" s="11"/>
    </row>
    <row r="22" spans="1:17">
      <c r="D22" s="11"/>
      <c r="E22" s="11"/>
    </row>
    <row r="23" spans="1:17">
      <c r="A23" s="330" t="s">
        <v>0</v>
      </c>
      <c r="B23" s="1388" t="s">
        <v>566</v>
      </c>
      <c r="C23" s="1389"/>
      <c r="D23" s="1389"/>
      <c r="E23" s="1390"/>
      <c r="F23" s="1411"/>
      <c r="G23" s="1402" t="s">
        <v>567</v>
      </c>
      <c r="H23" s="1403"/>
      <c r="I23" s="1403"/>
      <c r="J23" s="1403"/>
      <c r="K23" s="1404"/>
      <c r="L23" s="1352" t="s">
        <v>5</v>
      </c>
      <c r="M23" s="1353"/>
      <c r="N23" s="1352" t="s">
        <v>6</v>
      </c>
      <c r="O23" s="1353"/>
    </row>
    <row r="24" spans="1:17" ht="15" customHeight="1">
      <c r="A24" s="47">
        <v>1</v>
      </c>
      <c r="B24" s="1359" t="s">
        <v>576</v>
      </c>
      <c r="C24" s="1360"/>
      <c r="D24" s="1360"/>
      <c r="E24" s="1361"/>
      <c r="F24" s="1412"/>
      <c r="G24" s="1414" t="s">
        <v>568</v>
      </c>
      <c r="H24" s="1415"/>
      <c r="I24" s="1415"/>
      <c r="J24" s="1415"/>
      <c r="K24" s="1416"/>
      <c r="L24" s="1391" t="str">
        <f>L2</f>
        <v>Prof. R. RICCIU</v>
      </c>
      <c r="M24" s="1392"/>
      <c r="N24" s="1391" t="str">
        <f>N2</f>
        <v>X</v>
      </c>
      <c r="O24" s="1392"/>
    </row>
    <row r="25" spans="1:17" ht="14.5" customHeight="1">
      <c r="A25" s="48" t="s">
        <v>63</v>
      </c>
      <c r="B25" s="1362"/>
      <c r="C25" s="1363"/>
      <c r="D25" s="1363"/>
      <c r="E25" s="1364"/>
      <c r="F25" s="1413"/>
      <c r="G25" s="1354" t="str">
        <f>G3</f>
        <v>LAB. INTEGR. DI PROG. TECN. (TERMOFISICA DELL'EDIFICIO) a.a. 2019/2020</v>
      </c>
      <c r="H25" s="1355"/>
      <c r="I25" s="1355"/>
      <c r="J25" s="1355"/>
      <c r="K25" s="1356"/>
      <c r="L25" s="1357" t="s">
        <v>1028</v>
      </c>
      <c r="M25" s="1358"/>
      <c r="N25" s="1357" t="str">
        <f>N3</f>
        <v>Y</v>
      </c>
      <c r="O25" s="1358"/>
    </row>
    <row r="26" spans="1:17">
      <c r="B26" s="7"/>
      <c r="C26" s="8"/>
      <c r="D26" s="8"/>
      <c r="E26" s="7"/>
    </row>
    <row r="27" spans="1:17">
      <c r="A27" s="20"/>
      <c r="B27" s="126"/>
      <c r="C27" s="11"/>
      <c r="D27" s="59" t="s">
        <v>604</v>
      </c>
      <c r="E27" s="11"/>
      <c r="F27" s="20"/>
      <c r="G27" s="20"/>
      <c r="H27" s="20"/>
      <c r="I27" s="51"/>
      <c r="J27" s="20"/>
      <c r="K27" s="20"/>
      <c r="L27" s="20"/>
      <c r="M27" s="20"/>
      <c r="N27" s="20"/>
    </row>
    <row r="28" spans="1:17" ht="15" customHeight="1">
      <c r="A28" s="1379" t="s">
        <v>374</v>
      </c>
      <c r="B28" s="1380"/>
      <c r="C28" s="1381"/>
      <c r="D28" s="337" t="s">
        <v>204</v>
      </c>
      <c r="E28" s="337" t="s">
        <v>205</v>
      </c>
      <c r="F28" s="337" t="s">
        <v>206</v>
      </c>
      <c r="G28" s="337" t="s">
        <v>207</v>
      </c>
      <c r="H28" s="337" t="s">
        <v>208</v>
      </c>
      <c r="I28" s="337" t="s">
        <v>209</v>
      </c>
      <c r="J28" s="337" t="s">
        <v>210</v>
      </c>
      <c r="K28" s="337" t="s">
        <v>211</v>
      </c>
      <c r="L28" s="337" t="s">
        <v>212</v>
      </c>
      <c r="M28" s="337" t="s">
        <v>213</v>
      </c>
      <c r="N28" s="337" t="s">
        <v>214</v>
      </c>
      <c r="O28" s="337" t="s">
        <v>215</v>
      </c>
    </row>
    <row r="29" spans="1:17">
      <c r="A29" s="1382"/>
      <c r="B29" s="1383"/>
      <c r="C29" s="1384"/>
      <c r="D29" s="338" t="s">
        <v>351</v>
      </c>
      <c r="E29" s="338" t="s">
        <v>351</v>
      </c>
      <c r="F29" s="338" t="s">
        <v>351</v>
      </c>
      <c r="G29" s="338" t="s">
        <v>351</v>
      </c>
      <c r="H29" s="338" t="s">
        <v>351</v>
      </c>
      <c r="I29" s="338" t="s">
        <v>351</v>
      </c>
      <c r="J29" s="338" t="s">
        <v>351</v>
      </c>
      <c r="K29" s="338" t="s">
        <v>351</v>
      </c>
      <c r="L29" s="338" t="s">
        <v>351</v>
      </c>
      <c r="M29" s="338" t="s">
        <v>351</v>
      </c>
      <c r="N29" s="338" t="s">
        <v>351</v>
      </c>
      <c r="O29" s="338" t="s">
        <v>351</v>
      </c>
    </row>
    <row r="30" spans="1:17">
      <c r="A30" s="1385" t="s">
        <v>829</v>
      </c>
      <c r="B30" s="1386"/>
      <c r="C30" s="1387"/>
      <c r="D30" s="339">
        <v>10.3</v>
      </c>
      <c r="E30" s="339">
        <v>10.8</v>
      </c>
      <c r="F30" s="339">
        <v>12.8</v>
      </c>
      <c r="G30" s="339">
        <v>15.1</v>
      </c>
      <c r="H30" s="339">
        <v>18.399999999999999</v>
      </c>
      <c r="I30" s="339">
        <v>22.9</v>
      </c>
      <c r="J30" s="339">
        <v>25.5</v>
      </c>
      <c r="K30" s="339">
        <v>25.5</v>
      </c>
      <c r="L30" s="339">
        <v>23.3</v>
      </c>
      <c r="M30" s="339">
        <v>19.399999999999999</v>
      </c>
      <c r="N30" s="339">
        <v>15.5</v>
      </c>
      <c r="O30" s="339">
        <v>11.7</v>
      </c>
    </row>
    <row r="31" spans="1:17">
      <c r="A31" s="20"/>
      <c r="B31" s="126"/>
      <c r="C31" s="126"/>
      <c r="D31" s="11"/>
      <c r="E31" s="126"/>
      <c r="F31" s="20"/>
      <c r="G31" s="20"/>
      <c r="H31" s="86"/>
      <c r="I31" s="87"/>
      <c r="J31" s="86"/>
      <c r="K31" s="86"/>
      <c r="L31" s="86"/>
      <c r="M31" s="86"/>
      <c r="N31" s="283"/>
      <c r="O31" s="283"/>
    </row>
    <row r="32" spans="1:17">
      <c r="A32" s="1417" t="s">
        <v>437</v>
      </c>
      <c r="B32" s="1417"/>
      <c r="C32" s="86"/>
      <c r="D32" s="86"/>
      <c r="E32" s="86"/>
      <c r="F32" s="86"/>
      <c r="G32" s="283"/>
      <c r="H32" s="283"/>
      <c r="I32"/>
      <c r="J32"/>
      <c r="K32"/>
      <c r="L32"/>
      <c r="M32"/>
      <c r="N32"/>
      <c r="O32"/>
    </row>
    <row r="33" spans="1:15">
      <c r="A33" s="1417"/>
      <c r="B33" s="1417"/>
      <c r="C33" s="86"/>
      <c r="D33" s="133" t="s">
        <v>606</v>
      </c>
      <c r="E33" s="387" t="s">
        <v>607</v>
      </c>
      <c r="F33" s="763" t="s">
        <v>612</v>
      </c>
      <c r="G33" s="283"/>
      <c r="H33" s="283"/>
      <c r="I33"/>
      <c r="J33"/>
      <c r="K33"/>
      <c r="L33"/>
      <c r="M33"/>
      <c r="N33"/>
      <c r="O33"/>
    </row>
    <row r="34" spans="1:15">
      <c r="A34" s="286" t="s">
        <v>438</v>
      </c>
      <c r="B34" s="342" t="s">
        <v>830</v>
      </c>
      <c r="C34" s="86"/>
      <c r="D34" s="86">
        <v>990</v>
      </c>
      <c r="E34" s="86" t="s">
        <v>831</v>
      </c>
      <c r="F34" s="86"/>
      <c r="G34" s="283"/>
      <c r="H34" s="283"/>
      <c r="I34"/>
      <c r="J34"/>
      <c r="K34"/>
      <c r="L34"/>
      <c r="M34"/>
      <c r="N34"/>
      <c r="O34"/>
    </row>
    <row r="35" spans="1:15">
      <c r="A35" s="283"/>
      <c r="B35" s="284"/>
      <c r="C35" s="283"/>
      <c r="D35" s="283"/>
      <c r="E35" s="283"/>
      <c r="F35" s="283"/>
      <c r="G35" s="283"/>
      <c r="H35" s="283"/>
      <c r="I35"/>
      <c r="J35"/>
      <c r="K35"/>
      <c r="L35"/>
      <c r="M35"/>
      <c r="N35"/>
      <c r="O35"/>
    </row>
    <row r="36" spans="1:15">
      <c r="A36" s="1401" t="s">
        <v>435</v>
      </c>
      <c r="B36" s="1401"/>
      <c r="C36" s="1401"/>
      <c r="D36" s="1401"/>
      <c r="E36" s="1401"/>
      <c r="F36" s="1401"/>
      <c r="G36" s="1424" t="s">
        <v>442</v>
      </c>
      <c r="H36" s="1424"/>
      <c r="I36"/>
      <c r="J36"/>
      <c r="K36"/>
      <c r="L36"/>
      <c r="M36"/>
      <c r="N36"/>
      <c r="O36"/>
    </row>
    <row r="37" spans="1:15">
      <c r="A37" s="1397" t="s">
        <v>571</v>
      </c>
      <c r="B37" s="1397"/>
      <c r="C37" s="1397"/>
      <c r="D37" s="1398" t="s">
        <v>832</v>
      </c>
      <c r="E37" s="1399"/>
      <c r="F37" s="1400"/>
      <c r="G37" s="1424"/>
      <c r="H37" s="1424"/>
      <c r="I37"/>
      <c r="J37"/>
      <c r="K37"/>
      <c r="L37"/>
      <c r="M37"/>
      <c r="N37"/>
      <c r="O37"/>
    </row>
    <row r="38" spans="1:15" ht="16">
      <c r="A38" s="1365" t="s">
        <v>441</v>
      </c>
      <c r="B38" s="1365"/>
      <c r="C38" s="339">
        <v>4</v>
      </c>
      <c r="D38" s="1365" t="s">
        <v>436</v>
      </c>
      <c r="E38" s="1365"/>
      <c r="F38" s="339">
        <v>4</v>
      </c>
      <c r="G38" s="1424"/>
      <c r="H38" s="1424"/>
      <c r="I38"/>
      <c r="J38"/>
      <c r="K38"/>
      <c r="L38"/>
      <c r="M38"/>
      <c r="N38"/>
      <c r="O38"/>
    </row>
    <row r="39" spans="1:15" ht="16">
      <c r="A39" s="1395" t="s">
        <v>202</v>
      </c>
      <c r="B39" s="1396"/>
      <c r="C39" s="285" t="s">
        <v>439</v>
      </c>
      <c r="D39" s="1395" t="s">
        <v>202</v>
      </c>
      <c r="E39" s="1396"/>
      <c r="F39" s="285" t="s">
        <v>440</v>
      </c>
      <c r="G39" s="262" t="s">
        <v>202</v>
      </c>
      <c r="H39" s="262" t="s">
        <v>444</v>
      </c>
      <c r="I39"/>
      <c r="J39"/>
      <c r="K39"/>
      <c r="L39"/>
      <c r="M39"/>
      <c r="N39"/>
      <c r="O39"/>
    </row>
    <row r="40" spans="1:15">
      <c r="A40" s="1393" t="s">
        <v>24</v>
      </c>
      <c r="B40" s="1394"/>
      <c r="C40" s="267" t="s">
        <v>351</v>
      </c>
      <c r="D40" s="1393" t="s">
        <v>24</v>
      </c>
      <c r="E40" s="1394"/>
      <c r="F40" s="267" t="s">
        <v>351</v>
      </c>
      <c r="G40" s="267" t="s">
        <v>24</v>
      </c>
      <c r="H40" s="267" t="s">
        <v>443</v>
      </c>
      <c r="I40"/>
      <c r="J40"/>
      <c r="K40"/>
      <c r="L40"/>
      <c r="M40"/>
      <c r="N40"/>
      <c r="O40"/>
    </row>
    <row r="41" spans="1:15">
      <c r="A41" s="1365" t="s">
        <v>204</v>
      </c>
      <c r="B41" s="1365"/>
      <c r="C41" s="339">
        <v>10.3</v>
      </c>
      <c r="D41" s="1365" t="s">
        <v>204</v>
      </c>
      <c r="E41" s="1365"/>
      <c r="F41" s="331">
        <f>D30</f>
        <v>10.3</v>
      </c>
      <c r="G41" s="339" t="s">
        <v>204</v>
      </c>
      <c r="H41" s="339">
        <v>973</v>
      </c>
      <c r="I41"/>
      <c r="J41"/>
      <c r="K41"/>
      <c r="L41"/>
      <c r="M41"/>
      <c r="N41"/>
      <c r="O41"/>
    </row>
    <row r="42" spans="1:15">
      <c r="A42" s="1365" t="s">
        <v>205</v>
      </c>
      <c r="B42" s="1365"/>
      <c r="C42" s="339">
        <v>10.8</v>
      </c>
      <c r="D42" s="1365" t="s">
        <v>205</v>
      </c>
      <c r="E42" s="1365"/>
      <c r="F42" s="331">
        <f>E30</f>
        <v>10.8</v>
      </c>
      <c r="G42" s="339" t="s">
        <v>205</v>
      </c>
      <c r="H42" s="339">
        <v>923</v>
      </c>
      <c r="I42"/>
      <c r="J42"/>
      <c r="K42"/>
      <c r="L42"/>
      <c r="M42"/>
      <c r="N42"/>
      <c r="O42"/>
    </row>
    <row r="43" spans="1:15">
      <c r="A43" s="1365" t="s">
        <v>206</v>
      </c>
      <c r="B43" s="1365"/>
      <c r="C43" s="339">
        <v>12.8</v>
      </c>
      <c r="D43" s="1365" t="s">
        <v>206</v>
      </c>
      <c r="E43" s="1365"/>
      <c r="F43" s="331">
        <f>F30</f>
        <v>12.8</v>
      </c>
      <c r="G43" s="339" t="s">
        <v>206</v>
      </c>
      <c r="H43" s="339">
        <v>1011</v>
      </c>
      <c r="I43"/>
      <c r="J43"/>
      <c r="K43"/>
      <c r="L43"/>
      <c r="M43"/>
      <c r="N43"/>
      <c r="O43"/>
    </row>
    <row r="44" spans="1:15">
      <c r="A44" s="1365" t="s">
        <v>207</v>
      </c>
      <c r="B44" s="1365"/>
      <c r="C44" s="339">
        <v>15.1</v>
      </c>
      <c r="D44" s="1365" t="s">
        <v>207</v>
      </c>
      <c r="E44" s="1365"/>
      <c r="F44" s="331">
        <f>G30</f>
        <v>15.1</v>
      </c>
      <c r="G44" s="339" t="s">
        <v>207</v>
      </c>
      <c r="H44" s="339">
        <v>1180</v>
      </c>
      <c r="I44"/>
      <c r="J44"/>
      <c r="K44"/>
      <c r="L44"/>
      <c r="M44"/>
      <c r="N44"/>
      <c r="O44"/>
    </row>
    <row r="45" spans="1:15">
      <c r="A45" s="1365" t="s">
        <v>208</v>
      </c>
      <c r="B45" s="1365"/>
      <c r="C45" s="339">
        <v>18.399999999999999</v>
      </c>
      <c r="D45" s="1365" t="s">
        <v>208</v>
      </c>
      <c r="E45" s="1365"/>
      <c r="F45" s="331">
        <f>H30</f>
        <v>18.399999999999999</v>
      </c>
      <c r="G45" s="339" t="s">
        <v>208</v>
      </c>
      <c r="H45" s="339">
        <v>1385</v>
      </c>
      <c r="I45"/>
      <c r="J45"/>
      <c r="K45"/>
      <c r="L45"/>
      <c r="M45"/>
      <c r="N45"/>
      <c r="O45"/>
    </row>
    <row r="46" spans="1:15">
      <c r="A46" s="1365" t="s">
        <v>209</v>
      </c>
      <c r="B46" s="1365"/>
      <c r="C46" s="339">
        <v>22.9</v>
      </c>
      <c r="D46" s="1365" t="s">
        <v>209</v>
      </c>
      <c r="E46" s="1365"/>
      <c r="F46" s="331">
        <f>I30</f>
        <v>22.9</v>
      </c>
      <c r="G46" s="339" t="s">
        <v>209</v>
      </c>
      <c r="H46" s="339">
        <v>1718</v>
      </c>
      <c r="I46"/>
      <c r="J46"/>
      <c r="K46"/>
      <c r="L46"/>
      <c r="M46"/>
      <c r="N46"/>
      <c r="O46"/>
    </row>
    <row r="47" spans="1:15">
      <c r="A47" s="1365" t="s">
        <v>210</v>
      </c>
      <c r="B47" s="1365"/>
      <c r="C47" s="339">
        <v>25.5</v>
      </c>
      <c r="D47" s="1365" t="s">
        <v>210</v>
      </c>
      <c r="E47" s="1365"/>
      <c r="F47" s="331">
        <f>J30</f>
        <v>25.5</v>
      </c>
      <c r="G47" s="339" t="s">
        <v>210</v>
      </c>
      <c r="H47" s="339">
        <v>1975</v>
      </c>
      <c r="I47"/>
      <c r="J47"/>
      <c r="K47"/>
      <c r="L47"/>
      <c r="M47"/>
      <c r="N47"/>
      <c r="O47"/>
    </row>
    <row r="48" spans="1:15">
      <c r="A48" s="1365" t="s">
        <v>211</v>
      </c>
      <c r="B48" s="1365"/>
      <c r="C48" s="339">
        <v>25.5</v>
      </c>
      <c r="D48" s="1365" t="s">
        <v>211</v>
      </c>
      <c r="E48" s="1365"/>
      <c r="F48" s="331">
        <f>K30</f>
        <v>25.5</v>
      </c>
      <c r="G48" s="339" t="s">
        <v>211</v>
      </c>
      <c r="H48" s="339">
        <v>2030</v>
      </c>
      <c r="I48"/>
      <c r="J48"/>
      <c r="K48"/>
      <c r="L48"/>
      <c r="M48"/>
      <c r="N48"/>
      <c r="O48"/>
    </row>
    <row r="49" spans="1:18">
      <c r="A49" s="1365" t="s">
        <v>212</v>
      </c>
      <c r="B49" s="1365"/>
      <c r="C49" s="339">
        <v>23.3</v>
      </c>
      <c r="D49" s="1365" t="s">
        <v>212</v>
      </c>
      <c r="E49" s="1365"/>
      <c r="F49" s="331">
        <f>L30</f>
        <v>23.3</v>
      </c>
      <c r="G49" s="339" t="s">
        <v>212</v>
      </c>
      <c r="H49" s="339">
        <v>1937</v>
      </c>
      <c r="I49"/>
      <c r="J49"/>
      <c r="K49"/>
      <c r="L49"/>
      <c r="M49"/>
      <c r="N49"/>
      <c r="O49"/>
    </row>
    <row r="50" spans="1:18">
      <c r="A50" s="1365" t="s">
        <v>213</v>
      </c>
      <c r="B50" s="1365"/>
      <c r="C50" s="339">
        <v>19.399999999999999</v>
      </c>
      <c r="D50" s="1365" t="s">
        <v>213</v>
      </c>
      <c r="E50" s="1365"/>
      <c r="F50" s="331">
        <f>M30</f>
        <v>19.399999999999999</v>
      </c>
      <c r="G50" s="339" t="s">
        <v>213</v>
      </c>
      <c r="H50" s="339">
        <v>1509</v>
      </c>
      <c r="I50"/>
      <c r="J50"/>
      <c r="K50"/>
      <c r="L50"/>
      <c r="M50"/>
      <c r="N50"/>
      <c r="O50"/>
    </row>
    <row r="51" spans="1:18">
      <c r="A51" s="1365" t="s">
        <v>214</v>
      </c>
      <c r="B51" s="1365"/>
      <c r="C51" s="339">
        <v>15.5</v>
      </c>
      <c r="D51" s="1365" t="s">
        <v>214</v>
      </c>
      <c r="E51" s="1365"/>
      <c r="F51" s="331">
        <f>N30</f>
        <v>15.5</v>
      </c>
      <c r="G51" s="339" t="s">
        <v>214</v>
      </c>
      <c r="H51" s="339">
        <v>1259</v>
      </c>
      <c r="I51"/>
      <c r="J51"/>
      <c r="K51"/>
      <c r="L51"/>
      <c r="M51"/>
      <c r="N51"/>
      <c r="O51"/>
    </row>
    <row r="52" spans="1:18">
      <c r="A52" s="1365" t="s">
        <v>215</v>
      </c>
      <c r="B52" s="1365"/>
      <c r="C52" s="339">
        <v>11.7</v>
      </c>
      <c r="D52" s="1365" t="s">
        <v>215</v>
      </c>
      <c r="E52" s="1365"/>
      <c r="F52" s="331">
        <f>O30</f>
        <v>11.7</v>
      </c>
      <c r="G52" s="339" t="s">
        <v>215</v>
      </c>
      <c r="H52" s="339">
        <v>1151</v>
      </c>
      <c r="I52"/>
      <c r="J52"/>
      <c r="K52"/>
      <c r="L52"/>
      <c r="M52"/>
      <c r="N52"/>
      <c r="O52"/>
    </row>
    <row r="53" spans="1:18">
      <c r="A53" s="283"/>
      <c r="B53" s="284"/>
      <c r="C53" s="86">
        <f>AVERAGE(C41:C52)</f>
        <v>17.600000000000001</v>
      </c>
      <c r="D53" s="283"/>
      <c r="E53" s="283"/>
      <c r="F53" s="87">
        <f>AVERAGE(F41:F52)</f>
        <v>17.600000000000001</v>
      </c>
      <c r="G53" s="283"/>
      <c r="H53" s="283"/>
      <c r="I53"/>
      <c r="J53"/>
      <c r="K53"/>
      <c r="L53"/>
      <c r="M53"/>
      <c r="N53"/>
      <c r="O53"/>
    </row>
    <row r="54" spans="1:18">
      <c r="C54" s="97" t="s">
        <v>605</v>
      </c>
      <c r="F54" s="97" t="s">
        <v>605</v>
      </c>
      <c r="H54" s="283"/>
      <c r="I54" s="284"/>
      <c r="J54" s="283"/>
      <c r="K54" s="283"/>
      <c r="L54" s="283"/>
      <c r="M54" s="87"/>
      <c r="N54" s="283"/>
      <c r="O54" s="283"/>
    </row>
    <row r="55" spans="1:18">
      <c r="H55" s="283"/>
      <c r="I55" s="284"/>
      <c r="J55" s="283"/>
      <c r="K55" s="283"/>
      <c r="L55" s="283"/>
      <c r="M55" s="87"/>
      <c r="N55" s="283"/>
      <c r="O55" s="283"/>
    </row>
    <row r="56" spans="1:18">
      <c r="H56" s="283"/>
      <c r="I56" s="284"/>
      <c r="J56" s="283"/>
      <c r="K56" s="283"/>
      <c r="L56" s="283"/>
      <c r="M56" s="283"/>
      <c r="N56" s="283"/>
      <c r="O56" s="283"/>
    </row>
    <row r="58" spans="1:18">
      <c r="A58" s="330" t="s">
        <v>0</v>
      </c>
      <c r="B58" s="1388" t="s">
        <v>566</v>
      </c>
      <c r="C58" s="1389"/>
      <c r="D58" s="1389"/>
      <c r="E58" s="1390"/>
      <c r="F58" s="1411"/>
      <c r="G58" s="1402" t="s">
        <v>567</v>
      </c>
      <c r="H58" s="1403"/>
      <c r="I58" s="1403"/>
      <c r="J58" s="1403"/>
      <c r="K58" s="1404"/>
      <c r="L58" s="1352" t="s">
        <v>5</v>
      </c>
      <c r="M58" s="1353"/>
      <c r="N58" s="1352" t="s">
        <v>6</v>
      </c>
      <c r="O58" s="1353"/>
    </row>
    <row r="59" spans="1:18" ht="15" customHeight="1">
      <c r="A59" s="47">
        <v>1</v>
      </c>
      <c r="B59" s="1359" t="s">
        <v>39</v>
      </c>
      <c r="C59" s="1360"/>
      <c r="D59" s="1360"/>
      <c r="E59" s="1361"/>
      <c r="F59" s="1412"/>
      <c r="G59" s="1414" t="s">
        <v>568</v>
      </c>
      <c r="H59" s="1415"/>
      <c r="I59" s="1415"/>
      <c r="J59" s="1415"/>
      <c r="K59" s="1416"/>
      <c r="L59" s="1391" t="str">
        <f>L2</f>
        <v>Prof. R. RICCIU</v>
      </c>
      <c r="M59" s="1392"/>
      <c r="N59" s="1391" t="str">
        <f>N24</f>
        <v>X</v>
      </c>
      <c r="O59" s="1392"/>
    </row>
    <row r="60" spans="1:18" ht="14.5" customHeight="1">
      <c r="A60" s="48" t="s">
        <v>64</v>
      </c>
      <c r="B60" s="1362"/>
      <c r="C60" s="1363"/>
      <c r="D60" s="1363"/>
      <c r="E60" s="1364"/>
      <c r="F60" s="1413"/>
      <c r="G60" s="1354" t="str">
        <f>G3</f>
        <v>LAB. INTEGR. DI PROG. TECN. (TERMOFISICA DELL'EDIFICIO) a.a. 2019/2020</v>
      </c>
      <c r="H60" s="1355"/>
      <c r="I60" s="1355"/>
      <c r="J60" s="1355"/>
      <c r="K60" s="1356"/>
      <c r="L60" s="1357" t="s">
        <v>1028</v>
      </c>
      <c r="M60" s="1358"/>
      <c r="N60" s="1357" t="str">
        <f>N25</f>
        <v>Y</v>
      </c>
      <c r="O60" s="1358"/>
    </row>
    <row r="62" spans="1:18">
      <c r="D62" s="19"/>
      <c r="E62" s="25"/>
      <c r="I62" s="19"/>
      <c r="J62" s="25"/>
      <c r="P62" s="19"/>
    </row>
    <row r="63" spans="1:18" ht="15" customHeight="1">
      <c r="A63" s="1350" t="s">
        <v>812</v>
      </c>
      <c r="B63" s="1351"/>
      <c r="C63" s="720" t="s">
        <v>25</v>
      </c>
      <c r="D63" s="725" t="s">
        <v>77</v>
      </c>
      <c r="E63" s="719" t="s">
        <v>26</v>
      </c>
      <c r="G63" s="1350" t="s">
        <v>553</v>
      </c>
      <c r="H63" s="1351"/>
      <c r="I63" s="720" t="s">
        <v>25</v>
      </c>
      <c r="J63" s="725" t="s">
        <v>77</v>
      </c>
      <c r="K63" s="719" t="s">
        <v>26</v>
      </c>
      <c r="M63" s="1350" t="s">
        <v>812</v>
      </c>
      <c r="N63" s="1351"/>
      <c r="O63" s="755" t="s">
        <v>25</v>
      </c>
      <c r="P63" s="759" t="s">
        <v>77</v>
      </c>
      <c r="Q63" s="754" t="s">
        <v>26</v>
      </c>
      <c r="R63" s="19"/>
    </row>
    <row r="64" spans="1:18" ht="15" customHeight="1">
      <c r="A64" s="1350"/>
      <c r="B64" s="1351"/>
      <c r="C64" s="703" t="s">
        <v>24</v>
      </c>
      <c r="D64" s="705" t="s">
        <v>24</v>
      </c>
      <c r="E64" s="318" t="s">
        <v>82</v>
      </c>
      <c r="G64" s="1350"/>
      <c r="H64" s="1351"/>
      <c r="I64" s="703" t="s">
        <v>24</v>
      </c>
      <c r="J64" s="705" t="s">
        <v>24</v>
      </c>
      <c r="K64" s="318" t="s">
        <v>82</v>
      </c>
      <c r="M64" s="1350"/>
      <c r="N64" s="1351"/>
      <c r="O64" s="746" t="s">
        <v>24</v>
      </c>
      <c r="P64" s="744" t="s">
        <v>24</v>
      </c>
      <c r="Q64" s="318" t="s">
        <v>82</v>
      </c>
      <c r="R64" s="19"/>
    </row>
    <row r="65" spans="1:18" ht="15" customHeight="1">
      <c r="A65" s="1350"/>
      <c r="B65" s="1351"/>
      <c r="C65" s="704"/>
      <c r="D65" s="706"/>
      <c r="E65" s="174" t="s">
        <v>32</v>
      </c>
      <c r="G65" s="1350"/>
      <c r="H65" s="1351"/>
      <c r="I65" s="704"/>
      <c r="J65" s="706"/>
      <c r="K65" s="174" t="s">
        <v>32</v>
      </c>
      <c r="M65" s="1350"/>
      <c r="N65" s="1351"/>
      <c r="O65" s="747"/>
      <c r="P65" s="745"/>
      <c r="Q65" s="174" t="s">
        <v>32</v>
      </c>
      <c r="R65" s="19"/>
    </row>
    <row r="66" spans="1:18" ht="15" customHeight="1">
      <c r="A66" s="1376" t="s">
        <v>34</v>
      </c>
      <c r="B66" s="1375" t="s">
        <v>809</v>
      </c>
      <c r="C66" s="920" t="s">
        <v>9</v>
      </c>
      <c r="D66" s="711" t="s">
        <v>593</v>
      </c>
      <c r="E66" s="715">
        <f>3.3*2.7</f>
        <v>8.91</v>
      </c>
      <c r="F66" s="317"/>
      <c r="G66" s="1369" t="s">
        <v>835</v>
      </c>
      <c r="H66" s="1366" t="s">
        <v>809</v>
      </c>
      <c r="I66" s="770" t="s">
        <v>9</v>
      </c>
      <c r="J66" s="765" t="s">
        <v>593</v>
      </c>
      <c r="K66" s="783">
        <f>3.3*2.7</f>
        <v>8.91</v>
      </c>
      <c r="M66" s="1377" t="s">
        <v>845</v>
      </c>
      <c r="N66" s="1375" t="s">
        <v>809</v>
      </c>
      <c r="O66" s="920" t="s">
        <v>9</v>
      </c>
      <c r="P66" s="748" t="s">
        <v>593</v>
      </c>
      <c r="Q66" s="751">
        <f>3.3*2.7</f>
        <v>8.91</v>
      </c>
      <c r="R66" s="19"/>
    </row>
    <row r="67" spans="1:18">
      <c r="A67" s="1376"/>
      <c r="B67" s="1375"/>
      <c r="C67" s="921"/>
      <c r="D67" s="712" t="s">
        <v>813</v>
      </c>
      <c r="E67" s="716">
        <f>2.15*2.7</f>
        <v>5.8049999999999997</v>
      </c>
      <c r="G67" s="1370"/>
      <c r="H67" s="1367"/>
      <c r="I67" s="772"/>
      <c r="J67" s="768" t="s">
        <v>813</v>
      </c>
      <c r="K67" s="785">
        <f>2.15*2.7</f>
        <v>5.8049999999999997</v>
      </c>
      <c r="M67" s="1377"/>
      <c r="N67" s="1375"/>
      <c r="O67" s="921"/>
      <c r="P67" s="749" t="s">
        <v>813</v>
      </c>
      <c r="Q67" s="752">
        <f>2.15*2.7</f>
        <v>5.8049999999999997</v>
      </c>
      <c r="R67" s="19"/>
    </row>
    <row r="68" spans="1:18">
      <c r="A68" s="1376"/>
      <c r="B68" s="1375"/>
      <c r="C68" s="922"/>
      <c r="D68" s="714" t="s">
        <v>816</v>
      </c>
      <c r="E68" s="717">
        <f>D9</f>
        <v>14.82</v>
      </c>
      <c r="G68" s="1370"/>
      <c r="H68" s="1367"/>
      <c r="I68" s="738" t="s">
        <v>804</v>
      </c>
      <c r="J68" s="749" t="s">
        <v>814</v>
      </c>
      <c r="K68" s="752">
        <f>5.08*2.7</f>
        <v>13.716000000000001</v>
      </c>
      <c r="M68" s="1377"/>
      <c r="N68" s="1375"/>
      <c r="O68" s="922"/>
      <c r="P68" s="750" t="s">
        <v>836</v>
      </c>
      <c r="Q68" s="753">
        <f>D9</f>
        <v>14.82</v>
      </c>
      <c r="R68" s="19"/>
    </row>
    <row r="69" spans="1:18">
      <c r="A69" s="1376"/>
      <c r="B69" s="1375"/>
      <c r="C69" s="921" t="s">
        <v>804</v>
      </c>
      <c r="D69" s="712" t="s">
        <v>814</v>
      </c>
      <c r="E69" s="716">
        <f>5.08*2.7</f>
        <v>13.716000000000001</v>
      </c>
      <c r="G69" s="1370"/>
      <c r="H69" s="1367"/>
      <c r="I69" s="738"/>
      <c r="J69" s="749" t="s">
        <v>590</v>
      </c>
      <c r="K69" s="752">
        <f>3.96*2.7</f>
        <v>10.692</v>
      </c>
      <c r="M69" s="1377"/>
      <c r="N69" s="1375"/>
      <c r="O69" s="921" t="s">
        <v>804</v>
      </c>
      <c r="P69" s="749" t="s">
        <v>814</v>
      </c>
      <c r="Q69" s="752">
        <f>5.08*2.7</f>
        <v>13.716000000000001</v>
      </c>
      <c r="R69" s="19"/>
    </row>
    <row r="70" spans="1:18">
      <c r="A70" s="1376"/>
      <c r="B70" s="1375"/>
      <c r="C70" s="921"/>
      <c r="D70" s="712" t="s">
        <v>590</v>
      </c>
      <c r="E70" s="716">
        <f>3.96*2.7</f>
        <v>10.692</v>
      </c>
      <c r="G70" s="1370"/>
      <c r="H70" s="1367"/>
      <c r="I70" s="741"/>
      <c r="J70" s="749" t="s">
        <v>818</v>
      </c>
      <c r="K70" s="752">
        <f>4.13*2.7</f>
        <v>11.151</v>
      </c>
      <c r="M70" s="1377"/>
      <c r="N70" s="1375"/>
      <c r="O70" s="921"/>
      <c r="P70" s="749" t="s">
        <v>590</v>
      </c>
      <c r="Q70" s="752">
        <f>3.96*2.7</f>
        <v>10.692</v>
      </c>
      <c r="R70" s="19"/>
    </row>
    <row r="71" spans="1:18">
      <c r="A71" s="1376"/>
      <c r="B71" s="1375"/>
      <c r="C71" s="921"/>
      <c r="D71" s="712" t="s">
        <v>815</v>
      </c>
      <c r="E71" s="716">
        <f>D10</f>
        <v>37.56</v>
      </c>
      <c r="G71" s="1370"/>
      <c r="H71" s="1367"/>
      <c r="I71" s="740"/>
      <c r="J71" s="750" t="s">
        <v>819</v>
      </c>
      <c r="K71" s="753">
        <f>1*2.2</f>
        <v>2.2000000000000002</v>
      </c>
      <c r="M71" s="1377"/>
      <c r="N71" s="1375"/>
      <c r="O71" s="921"/>
      <c r="P71" s="749" t="s">
        <v>837</v>
      </c>
      <c r="Q71" s="752">
        <f>D10</f>
        <v>37.56</v>
      </c>
      <c r="R71" s="19"/>
    </row>
    <row r="72" spans="1:18">
      <c r="A72" s="1376"/>
      <c r="B72" s="1375"/>
      <c r="C72" s="907"/>
      <c r="D72" s="824" t="s">
        <v>818</v>
      </c>
      <c r="E72" s="716">
        <f>4.13*2.7</f>
        <v>11.151</v>
      </c>
      <c r="G72" s="1370"/>
      <c r="H72" s="1367"/>
      <c r="I72" s="739" t="s">
        <v>22</v>
      </c>
      <c r="J72" s="748" t="s">
        <v>821</v>
      </c>
      <c r="K72" s="751">
        <f>0.6*2.7</f>
        <v>1.62</v>
      </c>
      <c r="M72" s="1377"/>
      <c r="N72" s="1375"/>
      <c r="O72" s="907"/>
      <c r="P72" s="749" t="s">
        <v>818</v>
      </c>
      <c r="Q72" s="752">
        <f>4.13*2.7</f>
        <v>11.151</v>
      </c>
      <c r="R72" s="19"/>
    </row>
    <row r="73" spans="1:18">
      <c r="A73" s="1376"/>
      <c r="B73" s="1375"/>
      <c r="C73" s="908"/>
      <c r="D73" s="825" t="s">
        <v>819</v>
      </c>
      <c r="E73" s="717">
        <f>1*2.2</f>
        <v>2.2000000000000002</v>
      </c>
      <c r="G73" s="1370"/>
      <c r="H73" s="1367"/>
      <c r="I73" s="739" t="s">
        <v>803</v>
      </c>
      <c r="J73" s="748" t="s">
        <v>827</v>
      </c>
      <c r="K73" s="751">
        <f>1.5*2.7</f>
        <v>4.0500000000000007</v>
      </c>
      <c r="M73" s="1377"/>
      <c r="N73" s="1375"/>
      <c r="O73" s="908"/>
      <c r="P73" s="750" t="s">
        <v>819</v>
      </c>
      <c r="Q73" s="753">
        <f>1*2.2</f>
        <v>2.2000000000000002</v>
      </c>
      <c r="R73" s="19"/>
    </row>
    <row r="74" spans="1:18">
      <c r="A74" s="1376"/>
      <c r="B74" s="1375"/>
      <c r="C74" s="906" t="s">
        <v>22</v>
      </c>
      <c r="D74" s="823" t="s">
        <v>821</v>
      </c>
      <c r="E74" s="715">
        <f>0.6*2.7</f>
        <v>1.62</v>
      </c>
      <c r="G74" s="1370"/>
      <c r="H74" s="1367"/>
      <c r="I74" s="741"/>
      <c r="J74" s="749" t="s">
        <v>823</v>
      </c>
      <c r="K74" s="752">
        <f>1.67*2.7</f>
        <v>4.5090000000000003</v>
      </c>
      <c r="M74" s="1377"/>
      <c r="N74" s="1375"/>
      <c r="O74" s="906" t="s">
        <v>22</v>
      </c>
      <c r="P74" s="748" t="s">
        <v>821</v>
      </c>
      <c r="Q74" s="751">
        <f>0.6*2.7</f>
        <v>1.62</v>
      </c>
      <c r="R74" s="19"/>
    </row>
    <row r="75" spans="1:18">
      <c r="A75" s="1376"/>
      <c r="B75" s="1375"/>
      <c r="C75" s="908"/>
      <c r="D75" s="714" t="s">
        <v>822</v>
      </c>
      <c r="E75" s="717">
        <f>D17</f>
        <v>4.734</v>
      </c>
      <c r="G75" s="1370"/>
      <c r="H75" s="1367"/>
      <c r="I75" s="739" t="s">
        <v>802</v>
      </c>
      <c r="J75" s="748" t="s">
        <v>591</v>
      </c>
      <c r="K75" s="751">
        <f>3.5*2.7</f>
        <v>9.4500000000000011</v>
      </c>
      <c r="M75" s="1377"/>
      <c r="N75" s="1375"/>
      <c r="O75" s="908"/>
      <c r="P75" s="750" t="s">
        <v>838</v>
      </c>
      <c r="Q75" s="753">
        <f>D17</f>
        <v>4.734</v>
      </c>
      <c r="R75" s="19"/>
    </row>
    <row r="76" spans="1:18">
      <c r="A76" s="1376"/>
      <c r="B76" s="1375"/>
      <c r="C76" s="906" t="s">
        <v>803</v>
      </c>
      <c r="D76" s="895" t="s">
        <v>827</v>
      </c>
      <c r="E76" s="751">
        <f>1.5*2.7</f>
        <v>4.0500000000000007</v>
      </c>
      <c r="G76" s="1370"/>
      <c r="H76" s="1367"/>
      <c r="I76" s="739" t="s">
        <v>587</v>
      </c>
      <c r="J76" s="748" t="s">
        <v>592</v>
      </c>
      <c r="K76" s="751">
        <f>2*2.7</f>
        <v>5.4</v>
      </c>
      <c r="M76" s="1377"/>
      <c r="N76" s="1375"/>
      <c r="O76" s="906" t="s">
        <v>803</v>
      </c>
      <c r="P76" s="748" t="s">
        <v>827</v>
      </c>
      <c r="Q76" s="751">
        <f>1.5*2.7</f>
        <v>4.0500000000000007</v>
      </c>
      <c r="R76" s="19"/>
    </row>
    <row r="77" spans="1:18">
      <c r="A77" s="1376"/>
      <c r="B77" s="1375"/>
      <c r="C77" s="907"/>
      <c r="D77" s="824" t="s">
        <v>823</v>
      </c>
      <c r="E77" s="752">
        <f>1.67*2.7</f>
        <v>4.5090000000000003</v>
      </c>
      <c r="G77" s="1370"/>
      <c r="H77" s="1367"/>
      <c r="I77" s="739" t="s">
        <v>20</v>
      </c>
      <c r="J77" s="748" t="s">
        <v>595</v>
      </c>
      <c r="K77" s="756">
        <f>3.55*2.7</f>
        <v>9.5850000000000009</v>
      </c>
      <c r="M77" s="1377"/>
      <c r="N77" s="1375"/>
      <c r="O77" s="907"/>
      <c r="P77" s="749" t="s">
        <v>823</v>
      </c>
      <c r="Q77" s="752">
        <f>1.67*2.7</f>
        <v>4.5090000000000003</v>
      </c>
      <c r="R77" s="19"/>
    </row>
    <row r="78" spans="1:18">
      <c r="A78" s="1376"/>
      <c r="B78" s="1375"/>
      <c r="C78" s="908"/>
      <c r="D78" s="750" t="s">
        <v>824</v>
      </c>
      <c r="E78" s="753">
        <f>D13</f>
        <v>2.38</v>
      </c>
      <c r="G78" s="1370"/>
      <c r="H78" s="1367"/>
      <c r="I78" s="742"/>
      <c r="J78" s="749" t="s">
        <v>589</v>
      </c>
      <c r="K78" s="758">
        <f>3.68*2.7</f>
        <v>9.9360000000000017</v>
      </c>
      <c r="M78" s="1377"/>
      <c r="N78" s="1375"/>
      <c r="O78" s="908"/>
      <c r="P78" s="750" t="s">
        <v>839</v>
      </c>
      <c r="Q78" s="753">
        <f>D13</f>
        <v>2.38</v>
      </c>
      <c r="R78" s="19"/>
    </row>
    <row r="79" spans="1:18" ht="15" customHeight="1">
      <c r="A79" s="1376"/>
      <c r="B79" s="1375"/>
      <c r="C79" s="906" t="s">
        <v>802</v>
      </c>
      <c r="D79" s="748" t="s">
        <v>591</v>
      </c>
      <c r="E79" s="751">
        <f>3.5*2.7</f>
        <v>9.4500000000000011</v>
      </c>
      <c r="G79" s="1370"/>
      <c r="H79" s="1367"/>
      <c r="I79" s="739" t="s">
        <v>586</v>
      </c>
      <c r="J79" s="818" t="s">
        <v>594</v>
      </c>
      <c r="K79" s="320">
        <f>2.86*2.7</f>
        <v>7.7220000000000004</v>
      </c>
      <c r="M79" s="1377"/>
      <c r="N79" s="1375"/>
      <c r="O79" s="906" t="s">
        <v>802</v>
      </c>
      <c r="P79" s="748" t="s">
        <v>591</v>
      </c>
      <c r="Q79" s="751">
        <f>3.5*2.7</f>
        <v>9.4500000000000011</v>
      </c>
      <c r="R79" s="19"/>
    </row>
    <row r="80" spans="1:18">
      <c r="A80" s="1376"/>
      <c r="B80" s="1375"/>
      <c r="C80" s="908"/>
      <c r="D80" s="750" t="s">
        <v>825</v>
      </c>
      <c r="E80" s="753">
        <f>D16</f>
        <v>15.575000000000001</v>
      </c>
      <c r="G80" s="1370"/>
      <c r="H80" s="1367"/>
      <c r="I80" s="739" t="s">
        <v>19</v>
      </c>
      <c r="J80" s="748" t="s">
        <v>599</v>
      </c>
      <c r="K80" s="756">
        <f>3.21*2.7</f>
        <v>8.6669999999999998</v>
      </c>
      <c r="M80" s="1377"/>
      <c r="N80" s="1375"/>
      <c r="O80" s="908"/>
      <c r="P80" s="750" t="s">
        <v>840</v>
      </c>
      <c r="Q80" s="753">
        <f>D16</f>
        <v>15.575000000000001</v>
      </c>
      <c r="R80" s="19"/>
    </row>
    <row r="81" spans="1:18">
      <c r="A81" s="1376"/>
      <c r="B81" s="1375"/>
      <c r="C81" s="906" t="s">
        <v>587</v>
      </c>
      <c r="D81" s="748" t="s">
        <v>592</v>
      </c>
      <c r="E81" s="751">
        <f>2*2.7</f>
        <v>5.4</v>
      </c>
      <c r="G81" s="1370"/>
      <c r="H81" s="1367"/>
      <c r="I81" s="742"/>
      <c r="J81" s="749" t="s">
        <v>828</v>
      </c>
      <c r="K81" s="758">
        <f>4.1*2.7</f>
        <v>11.07</v>
      </c>
      <c r="M81" s="1377"/>
      <c r="N81" s="1375"/>
      <c r="O81" s="906" t="s">
        <v>587</v>
      </c>
      <c r="P81" s="748" t="s">
        <v>592</v>
      </c>
      <c r="Q81" s="751">
        <f>2*2.7</f>
        <v>5.4</v>
      </c>
      <c r="R81" s="19"/>
    </row>
    <row r="82" spans="1:18" ht="15" customHeight="1">
      <c r="A82" s="1376"/>
      <c r="B82" s="1375"/>
      <c r="C82" s="908"/>
      <c r="D82" s="750" t="s">
        <v>834</v>
      </c>
      <c r="E82" s="757">
        <f>D12</f>
        <v>5.52</v>
      </c>
      <c r="G82" s="1370"/>
      <c r="H82" s="1368"/>
      <c r="I82" s="926" t="s">
        <v>588</v>
      </c>
      <c r="J82" s="914" t="s">
        <v>874</v>
      </c>
      <c r="K82" s="320">
        <f>1.1*2.7</f>
        <v>2.9700000000000006</v>
      </c>
      <c r="M82" s="1377"/>
      <c r="N82" s="1375"/>
      <c r="O82" s="908"/>
      <c r="P82" s="750" t="s">
        <v>841</v>
      </c>
      <c r="Q82" s="757">
        <f>D12</f>
        <v>5.52</v>
      </c>
      <c r="R82" s="19"/>
    </row>
    <row r="83" spans="1:18">
      <c r="A83" s="1376"/>
      <c r="B83" s="1375"/>
      <c r="C83" s="906" t="s">
        <v>20</v>
      </c>
      <c r="D83" s="748" t="s">
        <v>595</v>
      </c>
      <c r="E83" s="756">
        <f>3.55*2.7</f>
        <v>9.5850000000000009</v>
      </c>
      <c r="G83" s="1370"/>
      <c r="H83" s="1372" t="s">
        <v>810</v>
      </c>
      <c r="I83" s="770" t="s">
        <v>9</v>
      </c>
      <c r="J83" s="941" t="s">
        <v>600</v>
      </c>
      <c r="K83" s="783">
        <f t="shared" ref="K83:K98" si="7">K66</f>
        <v>8.91</v>
      </c>
      <c r="M83" s="1377"/>
      <c r="N83" s="1375"/>
      <c r="O83" s="906" t="s">
        <v>20</v>
      </c>
      <c r="P83" s="748" t="s">
        <v>595</v>
      </c>
      <c r="Q83" s="756">
        <f>3.55*2.7</f>
        <v>9.5850000000000009</v>
      </c>
      <c r="R83" s="19"/>
    </row>
    <row r="84" spans="1:18" ht="15" customHeight="1">
      <c r="A84" s="1376"/>
      <c r="B84" s="1375"/>
      <c r="C84" s="923"/>
      <c r="D84" s="749" t="s">
        <v>589</v>
      </c>
      <c r="E84" s="758">
        <f>3.68*2.7</f>
        <v>9.9360000000000017</v>
      </c>
      <c r="G84" s="1370"/>
      <c r="H84" s="1373"/>
      <c r="I84" s="772"/>
      <c r="J84" s="943" t="s">
        <v>846</v>
      </c>
      <c r="K84" s="785">
        <f t="shared" si="7"/>
        <v>5.8049999999999997</v>
      </c>
      <c r="M84" s="1377"/>
      <c r="N84" s="1375"/>
      <c r="O84" s="923"/>
      <c r="P84" s="749" t="s">
        <v>589</v>
      </c>
      <c r="Q84" s="758">
        <f>3.68*2.7</f>
        <v>9.9360000000000017</v>
      </c>
      <c r="R84" s="19"/>
    </row>
    <row r="85" spans="1:18">
      <c r="A85" s="1376"/>
      <c r="B85" s="1375"/>
      <c r="C85" s="924"/>
      <c r="D85" s="750" t="s">
        <v>621</v>
      </c>
      <c r="E85" s="757">
        <f>D15</f>
        <v>13.64</v>
      </c>
      <c r="G85" s="1370"/>
      <c r="H85" s="1373"/>
      <c r="I85" s="738" t="s">
        <v>804</v>
      </c>
      <c r="J85" s="942" t="s">
        <v>847</v>
      </c>
      <c r="K85" s="783">
        <f t="shared" si="7"/>
        <v>13.716000000000001</v>
      </c>
      <c r="M85" s="1377"/>
      <c r="N85" s="1375"/>
      <c r="O85" s="924"/>
      <c r="P85" s="750" t="s">
        <v>635</v>
      </c>
      <c r="Q85" s="757">
        <f>D15</f>
        <v>13.64</v>
      </c>
      <c r="R85" s="19"/>
    </row>
    <row r="86" spans="1:18">
      <c r="A86" s="1376"/>
      <c r="B86" s="1375"/>
      <c r="C86" s="906" t="s">
        <v>586</v>
      </c>
      <c r="D86" s="749" t="s">
        <v>594</v>
      </c>
      <c r="E86" s="724">
        <f>2.86*2.7</f>
        <v>7.7220000000000004</v>
      </c>
      <c r="G86" s="1370"/>
      <c r="H86" s="1373"/>
      <c r="I86" s="738"/>
      <c r="J86" s="942" t="s">
        <v>848</v>
      </c>
      <c r="K86" s="784">
        <f t="shared" si="7"/>
        <v>10.692</v>
      </c>
      <c r="M86" s="1377"/>
      <c r="N86" s="1375"/>
      <c r="O86" s="906" t="s">
        <v>586</v>
      </c>
      <c r="P86" s="749" t="s">
        <v>594</v>
      </c>
      <c r="Q86" s="758">
        <f>2.86*2.7</f>
        <v>7.7220000000000004</v>
      </c>
      <c r="R86" s="19"/>
    </row>
    <row r="87" spans="1:18">
      <c r="A87" s="1376"/>
      <c r="B87" s="1375"/>
      <c r="C87" s="924"/>
      <c r="D87" s="750" t="s">
        <v>826</v>
      </c>
      <c r="E87" s="723">
        <f>D11</f>
        <v>5.9773999999999994</v>
      </c>
      <c r="G87" s="1370"/>
      <c r="H87" s="1373"/>
      <c r="I87" s="741"/>
      <c r="J87" s="749" t="s">
        <v>818</v>
      </c>
      <c r="K87" s="784">
        <f t="shared" si="7"/>
        <v>11.151</v>
      </c>
      <c r="M87" s="1377"/>
      <c r="N87" s="1375"/>
      <c r="O87" s="924"/>
      <c r="P87" s="750" t="s">
        <v>842</v>
      </c>
      <c r="Q87" s="757">
        <f>D11</f>
        <v>5.9773999999999994</v>
      </c>
      <c r="R87" s="19"/>
    </row>
    <row r="88" spans="1:18">
      <c r="A88" s="1376"/>
      <c r="B88" s="1375"/>
      <c r="C88" s="906" t="s">
        <v>19</v>
      </c>
      <c r="D88" s="748" t="s">
        <v>599</v>
      </c>
      <c r="E88" s="756">
        <f>3.21*2.7</f>
        <v>8.6669999999999998</v>
      </c>
      <c r="G88" s="1370"/>
      <c r="H88" s="1373"/>
      <c r="I88" s="740"/>
      <c r="J88" s="750" t="s">
        <v>819</v>
      </c>
      <c r="K88" s="785">
        <f t="shared" si="7"/>
        <v>2.2000000000000002</v>
      </c>
      <c r="M88" s="1377"/>
      <c r="N88" s="1375"/>
      <c r="O88" s="906" t="s">
        <v>19</v>
      </c>
      <c r="P88" s="748" t="s">
        <v>599</v>
      </c>
      <c r="Q88" s="756">
        <f>3.21*2.7</f>
        <v>8.6669999999999998</v>
      </c>
      <c r="R88" s="19"/>
    </row>
    <row r="89" spans="1:18">
      <c r="A89" s="1376"/>
      <c r="B89" s="1375"/>
      <c r="C89" s="923"/>
      <c r="D89" s="824" t="s">
        <v>828</v>
      </c>
      <c r="E89" s="758">
        <f>4.1*2.7</f>
        <v>11.07</v>
      </c>
      <c r="G89" s="1370"/>
      <c r="H89" s="1373"/>
      <c r="I89" s="739" t="s">
        <v>22</v>
      </c>
      <c r="J89" s="748" t="s">
        <v>821</v>
      </c>
      <c r="K89" s="773">
        <f t="shared" si="7"/>
        <v>1.62</v>
      </c>
      <c r="M89" s="1377"/>
      <c r="N89" s="1375"/>
      <c r="O89" s="923"/>
      <c r="P89" s="749" t="s">
        <v>828</v>
      </c>
      <c r="Q89" s="758">
        <f>4.1*2.7</f>
        <v>11.07</v>
      </c>
      <c r="R89" s="19"/>
    </row>
    <row r="90" spans="1:18">
      <c r="A90" s="1376"/>
      <c r="B90" s="1375"/>
      <c r="C90" s="924"/>
      <c r="D90" s="750" t="s">
        <v>620</v>
      </c>
      <c r="E90" s="816">
        <f>D14</f>
        <v>20.149999999999999</v>
      </c>
      <c r="G90" s="1370"/>
      <c r="H90" s="1373"/>
      <c r="I90" s="739" t="s">
        <v>803</v>
      </c>
      <c r="J90" s="748" t="s">
        <v>827</v>
      </c>
      <c r="K90" s="783">
        <f t="shared" si="7"/>
        <v>4.0500000000000007</v>
      </c>
      <c r="M90" s="1377"/>
      <c r="N90" s="1375"/>
      <c r="O90" s="924"/>
      <c r="P90" s="750" t="s">
        <v>636</v>
      </c>
      <c r="Q90" s="816">
        <f>D14</f>
        <v>20.149999999999999</v>
      </c>
    </row>
    <row r="91" spans="1:18">
      <c r="A91" s="1376"/>
      <c r="B91" s="1375"/>
      <c r="C91" s="919" t="s">
        <v>588</v>
      </c>
      <c r="D91" s="896" t="s">
        <v>874</v>
      </c>
      <c r="E91" s="911">
        <f>1.1*2.7</f>
        <v>2.9700000000000006</v>
      </c>
      <c r="G91" s="1370"/>
      <c r="H91" s="1373"/>
      <c r="I91" s="741"/>
      <c r="J91" s="749" t="s">
        <v>823</v>
      </c>
      <c r="K91" s="785">
        <f t="shared" si="7"/>
        <v>4.5090000000000003</v>
      </c>
      <c r="M91" s="1377"/>
      <c r="N91" s="1375"/>
      <c r="O91" s="919" t="s">
        <v>588</v>
      </c>
      <c r="P91" s="896" t="s">
        <v>874</v>
      </c>
      <c r="Q91" s="911">
        <f>1.1*2.7</f>
        <v>2.9700000000000006</v>
      </c>
    </row>
    <row r="92" spans="1:18">
      <c r="A92" s="1376"/>
      <c r="B92" s="1375"/>
      <c r="C92" s="919"/>
      <c r="D92" s="896" t="s">
        <v>870</v>
      </c>
      <c r="E92" s="913">
        <f>D18</f>
        <v>10.1</v>
      </c>
      <c r="G92" s="1370"/>
      <c r="H92" s="1373"/>
      <c r="I92" s="739" t="s">
        <v>802</v>
      </c>
      <c r="J92" s="941" t="s">
        <v>853</v>
      </c>
      <c r="K92" s="773">
        <f t="shared" si="7"/>
        <v>9.4500000000000011</v>
      </c>
      <c r="M92" s="1377"/>
      <c r="N92" s="1375"/>
      <c r="O92" s="919"/>
      <c r="P92" s="896" t="s">
        <v>871</v>
      </c>
      <c r="Q92" s="913">
        <f>D18</f>
        <v>10.1</v>
      </c>
    </row>
    <row r="93" spans="1:18" ht="15" customHeight="1">
      <c r="A93" s="1376"/>
      <c r="B93" s="1378" t="s">
        <v>810</v>
      </c>
      <c r="C93" s="920" t="s">
        <v>9</v>
      </c>
      <c r="D93" s="760" t="s">
        <v>600</v>
      </c>
      <c r="E93" s="783">
        <f t="shared" ref="E93:E116" si="8">E66</f>
        <v>8.91</v>
      </c>
      <c r="G93" s="1370"/>
      <c r="H93" s="1373"/>
      <c r="I93" s="739" t="s">
        <v>587</v>
      </c>
      <c r="J93" s="941" t="s">
        <v>602</v>
      </c>
      <c r="K93" s="773">
        <f t="shared" si="7"/>
        <v>5.4</v>
      </c>
      <c r="M93" s="1377"/>
      <c r="N93" s="1378" t="s">
        <v>810</v>
      </c>
      <c r="O93" s="920" t="s">
        <v>9</v>
      </c>
      <c r="P93" s="760" t="s">
        <v>600</v>
      </c>
      <c r="Q93" s="783">
        <f t="shared" ref="Q93:Q116" si="9">Q66</f>
        <v>8.91</v>
      </c>
    </row>
    <row r="94" spans="1:18">
      <c r="A94" s="1376"/>
      <c r="B94" s="1378"/>
      <c r="C94" s="921"/>
      <c r="D94" s="761" t="s">
        <v>846</v>
      </c>
      <c r="E94" s="784">
        <f t="shared" si="8"/>
        <v>5.8049999999999997</v>
      </c>
      <c r="G94" s="1370"/>
      <c r="H94" s="1373"/>
      <c r="I94" s="739" t="s">
        <v>20</v>
      </c>
      <c r="J94" s="941" t="s">
        <v>598</v>
      </c>
      <c r="K94" s="783">
        <f t="shared" si="7"/>
        <v>9.5850000000000009</v>
      </c>
      <c r="M94" s="1377"/>
      <c r="N94" s="1378"/>
      <c r="O94" s="921"/>
      <c r="P94" s="761" t="s">
        <v>846</v>
      </c>
      <c r="Q94" s="784">
        <f t="shared" si="9"/>
        <v>5.8049999999999997</v>
      </c>
    </row>
    <row r="95" spans="1:18">
      <c r="A95" s="1376"/>
      <c r="B95" s="1378"/>
      <c r="C95" s="922"/>
      <c r="D95" s="750" t="s">
        <v>816</v>
      </c>
      <c r="E95" s="785">
        <f t="shared" si="8"/>
        <v>14.82</v>
      </c>
      <c r="G95" s="1370"/>
      <c r="H95" s="1373"/>
      <c r="I95" s="742"/>
      <c r="J95" s="942" t="s">
        <v>601</v>
      </c>
      <c r="K95" s="784">
        <f t="shared" si="7"/>
        <v>9.9360000000000017</v>
      </c>
      <c r="M95" s="1377"/>
      <c r="N95" s="1378"/>
      <c r="O95" s="922"/>
      <c r="P95" s="750" t="s">
        <v>836</v>
      </c>
      <c r="Q95" s="785">
        <f t="shared" si="9"/>
        <v>14.82</v>
      </c>
    </row>
    <row r="96" spans="1:18">
      <c r="A96" s="1376"/>
      <c r="B96" s="1378"/>
      <c r="C96" s="921" t="s">
        <v>804</v>
      </c>
      <c r="D96" s="761" t="s">
        <v>847</v>
      </c>
      <c r="E96" s="783">
        <f t="shared" si="8"/>
        <v>13.716000000000001</v>
      </c>
      <c r="G96" s="1370"/>
      <c r="H96" s="1373"/>
      <c r="I96" s="739" t="s">
        <v>586</v>
      </c>
      <c r="J96" s="949" t="s">
        <v>597</v>
      </c>
      <c r="K96" s="773">
        <f t="shared" si="7"/>
        <v>7.7220000000000004</v>
      </c>
      <c r="M96" s="1377"/>
      <c r="N96" s="1378"/>
      <c r="O96" s="921" t="s">
        <v>804</v>
      </c>
      <c r="P96" s="761" t="s">
        <v>847</v>
      </c>
      <c r="Q96" s="783">
        <f t="shared" si="9"/>
        <v>13.716000000000001</v>
      </c>
    </row>
    <row r="97" spans="1:17">
      <c r="A97" s="1376"/>
      <c r="B97" s="1378"/>
      <c r="C97" s="921"/>
      <c r="D97" s="761" t="s">
        <v>848</v>
      </c>
      <c r="E97" s="784">
        <f t="shared" si="8"/>
        <v>10.692</v>
      </c>
      <c r="G97" s="1370"/>
      <c r="H97" s="1373"/>
      <c r="I97" s="739" t="s">
        <v>19</v>
      </c>
      <c r="J97" s="942" t="s">
        <v>596</v>
      </c>
      <c r="K97" s="784">
        <f t="shared" si="7"/>
        <v>8.6669999999999998</v>
      </c>
      <c r="M97" s="1377"/>
      <c r="N97" s="1378"/>
      <c r="O97" s="921"/>
      <c r="P97" s="761" t="s">
        <v>848</v>
      </c>
      <c r="Q97" s="784">
        <f t="shared" si="9"/>
        <v>10.692</v>
      </c>
    </row>
    <row r="98" spans="1:17">
      <c r="A98" s="1376"/>
      <c r="B98" s="1378"/>
      <c r="C98" s="921"/>
      <c r="D98" s="749" t="s">
        <v>815</v>
      </c>
      <c r="E98" s="784">
        <f t="shared" si="8"/>
        <v>37.56</v>
      </c>
      <c r="G98" s="1370"/>
      <c r="H98" s="1373"/>
      <c r="I98" s="743"/>
      <c r="J98" s="768" t="s">
        <v>828</v>
      </c>
      <c r="K98" s="785">
        <f t="shared" si="7"/>
        <v>11.07</v>
      </c>
      <c r="M98" s="1377"/>
      <c r="N98" s="1378"/>
      <c r="O98" s="921"/>
      <c r="P98" s="749" t="s">
        <v>837</v>
      </c>
      <c r="Q98" s="784">
        <f t="shared" si="9"/>
        <v>37.56</v>
      </c>
    </row>
    <row r="99" spans="1:17">
      <c r="A99" s="1376"/>
      <c r="B99" s="1378"/>
      <c r="C99" s="907"/>
      <c r="D99" s="761" t="s">
        <v>850</v>
      </c>
      <c r="E99" s="784">
        <f t="shared" si="8"/>
        <v>11.151</v>
      </c>
      <c r="G99" s="1371"/>
      <c r="H99" s="1374"/>
      <c r="I99" s="927" t="s">
        <v>588</v>
      </c>
      <c r="J99" s="130" t="s">
        <v>874</v>
      </c>
      <c r="K99" s="901">
        <f>K82</f>
        <v>2.9700000000000006</v>
      </c>
      <c r="M99" s="1377"/>
      <c r="N99" s="1378"/>
      <c r="O99" s="907"/>
      <c r="P99" s="761" t="s">
        <v>850</v>
      </c>
      <c r="Q99" s="784">
        <f t="shared" si="9"/>
        <v>11.151</v>
      </c>
    </row>
    <row r="100" spans="1:17">
      <c r="A100" s="1376"/>
      <c r="B100" s="1378"/>
      <c r="C100" s="908"/>
      <c r="D100" s="762" t="s">
        <v>849</v>
      </c>
      <c r="E100" s="785">
        <f t="shared" si="8"/>
        <v>2.2000000000000002</v>
      </c>
      <c r="I100" s="19"/>
      <c r="J100" s="25"/>
      <c r="K100" s="841">
        <f>SUM(K66:K99)</f>
        <v>254.90600000000006</v>
      </c>
      <c r="M100" s="1377"/>
      <c r="N100" s="1378"/>
      <c r="O100" s="908"/>
      <c r="P100" s="762" t="s">
        <v>849</v>
      </c>
      <c r="Q100" s="785">
        <f t="shared" si="9"/>
        <v>2.2000000000000002</v>
      </c>
    </row>
    <row r="101" spans="1:17">
      <c r="A101" s="1376"/>
      <c r="B101" s="1378"/>
      <c r="C101" s="906" t="s">
        <v>22</v>
      </c>
      <c r="D101" s="823" t="s">
        <v>851</v>
      </c>
      <c r="E101" s="783">
        <f t="shared" si="8"/>
        <v>1.62</v>
      </c>
      <c r="M101" s="1377"/>
      <c r="N101" s="1378"/>
      <c r="O101" s="906" t="s">
        <v>22</v>
      </c>
      <c r="P101" s="823" t="s">
        <v>851</v>
      </c>
      <c r="Q101" s="783">
        <f t="shared" si="9"/>
        <v>1.62</v>
      </c>
    </row>
    <row r="102" spans="1:17">
      <c r="A102" s="1376"/>
      <c r="B102" s="1378"/>
      <c r="C102" s="908"/>
      <c r="D102" s="750" t="s">
        <v>822</v>
      </c>
      <c r="E102" s="785">
        <f t="shared" si="8"/>
        <v>4.734</v>
      </c>
      <c r="M102" s="1377"/>
      <c r="N102" s="1378"/>
      <c r="O102" s="908"/>
      <c r="P102" s="750" t="s">
        <v>838</v>
      </c>
      <c r="Q102" s="785">
        <f t="shared" si="9"/>
        <v>4.734</v>
      </c>
    </row>
    <row r="103" spans="1:17">
      <c r="A103" s="1376"/>
      <c r="B103" s="1378"/>
      <c r="C103" s="906" t="s">
        <v>803</v>
      </c>
      <c r="D103" s="760" t="s">
        <v>852</v>
      </c>
      <c r="E103" s="783">
        <f t="shared" si="8"/>
        <v>4.0500000000000007</v>
      </c>
      <c r="M103" s="1377"/>
      <c r="N103" s="1378"/>
      <c r="O103" s="906" t="s">
        <v>803</v>
      </c>
      <c r="P103" s="760" t="s">
        <v>852</v>
      </c>
      <c r="Q103" s="783">
        <f t="shared" si="9"/>
        <v>4.0500000000000007</v>
      </c>
    </row>
    <row r="104" spans="1:17">
      <c r="A104" s="1376"/>
      <c r="B104" s="1378"/>
      <c r="C104" s="907"/>
      <c r="D104" s="761" t="s">
        <v>851</v>
      </c>
      <c r="E104" s="784">
        <f t="shared" si="8"/>
        <v>4.5090000000000003</v>
      </c>
      <c r="M104" s="1377"/>
      <c r="N104" s="1378"/>
      <c r="O104" s="907"/>
      <c r="P104" s="761" t="s">
        <v>851</v>
      </c>
      <c r="Q104" s="784">
        <f t="shared" si="9"/>
        <v>4.5090000000000003</v>
      </c>
    </row>
    <row r="105" spans="1:17" ht="15" customHeight="1">
      <c r="A105" s="1376"/>
      <c r="B105" s="1378"/>
      <c r="C105" s="908"/>
      <c r="D105" s="750" t="s">
        <v>824</v>
      </c>
      <c r="E105" s="785">
        <f t="shared" si="8"/>
        <v>2.38</v>
      </c>
      <c r="H105" s="764"/>
      <c r="M105" s="1377"/>
      <c r="N105" s="1378"/>
      <c r="O105" s="908"/>
      <c r="P105" s="750" t="s">
        <v>839</v>
      </c>
      <c r="Q105" s="785">
        <f t="shared" si="9"/>
        <v>2.38</v>
      </c>
    </row>
    <row r="106" spans="1:17">
      <c r="A106" s="1376"/>
      <c r="B106" s="1378"/>
      <c r="C106" s="906" t="s">
        <v>802</v>
      </c>
      <c r="D106" s="760" t="s">
        <v>853</v>
      </c>
      <c r="E106" s="783">
        <f t="shared" si="8"/>
        <v>9.4500000000000011</v>
      </c>
      <c r="H106" s="764"/>
      <c r="M106" s="1377"/>
      <c r="N106" s="1378"/>
      <c r="O106" s="906" t="s">
        <v>802</v>
      </c>
      <c r="P106" s="760" t="s">
        <v>853</v>
      </c>
      <c r="Q106" s="783">
        <f t="shared" si="9"/>
        <v>9.4500000000000011</v>
      </c>
    </row>
    <row r="107" spans="1:17">
      <c r="A107" s="1376"/>
      <c r="B107" s="1378"/>
      <c r="C107" s="908"/>
      <c r="D107" s="750" t="s">
        <v>825</v>
      </c>
      <c r="E107" s="785">
        <f t="shared" si="8"/>
        <v>15.575000000000001</v>
      </c>
      <c r="H107" s="764"/>
      <c r="M107" s="1377"/>
      <c r="N107" s="1378"/>
      <c r="O107" s="908"/>
      <c r="P107" s="750" t="s">
        <v>840</v>
      </c>
      <c r="Q107" s="785">
        <f t="shared" si="9"/>
        <v>15.575000000000001</v>
      </c>
    </row>
    <row r="108" spans="1:17">
      <c r="A108" s="1376"/>
      <c r="B108" s="1378"/>
      <c r="C108" s="906" t="s">
        <v>587</v>
      </c>
      <c r="D108" s="760" t="s">
        <v>602</v>
      </c>
      <c r="E108" s="783">
        <f t="shared" si="8"/>
        <v>5.4</v>
      </c>
      <c r="H108" s="764"/>
      <c r="M108" s="1377"/>
      <c r="N108" s="1378"/>
      <c r="O108" s="906" t="s">
        <v>587</v>
      </c>
      <c r="P108" s="760" t="s">
        <v>602</v>
      </c>
      <c r="Q108" s="783">
        <f t="shared" si="9"/>
        <v>5.4</v>
      </c>
    </row>
    <row r="109" spans="1:17">
      <c r="A109" s="1376"/>
      <c r="B109" s="1378"/>
      <c r="C109" s="908"/>
      <c r="D109" s="750" t="s">
        <v>824</v>
      </c>
      <c r="E109" s="785">
        <f t="shared" si="8"/>
        <v>5.52</v>
      </c>
      <c r="H109" s="764"/>
      <c r="M109" s="1377"/>
      <c r="N109" s="1378"/>
      <c r="O109" s="908"/>
      <c r="P109" s="750" t="s">
        <v>839</v>
      </c>
      <c r="Q109" s="785">
        <f t="shared" si="9"/>
        <v>5.52</v>
      </c>
    </row>
    <row r="110" spans="1:17">
      <c r="A110" s="1376"/>
      <c r="B110" s="1378"/>
      <c r="C110" s="906" t="s">
        <v>20</v>
      </c>
      <c r="D110" s="760" t="s">
        <v>598</v>
      </c>
      <c r="E110" s="783">
        <f t="shared" si="8"/>
        <v>9.5850000000000009</v>
      </c>
      <c r="H110" s="764"/>
      <c r="M110" s="1377"/>
      <c r="N110" s="1378"/>
      <c r="O110" s="906" t="s">
        <v>20</v>
      </c>
      <c r="P110" s="760" t="s">
        <v>598</v>
      </c>
      <c r="Q110" s="783">
        <f t="shared" si="9"/>
        <v>9.5850000000000009</v>
      </c>
    </row>
    <row r="111" spans="1:17">
      <c r="A111" s="1376"/>
      <c r="B111" s="1378"/>
      <c r="C111" s="923"/>
      <c r="D111" s="761" t="s">
        <v>854</v>
      </c>
      <c r="E111" s="784">
        <f t="shared" si="8"/>
        <v>9.9360000000000017</v>
      </c>
      <c r="H111" s="764"/>
      <c r="M111" s="1377"/>
      <c r="N111" s="1378"/>
      <c r="O111" s="923"/>
      <c r="P111" s="761" t="s">
        <v>601</v>
      </c>
      <c r="Q111" s="784">
        <f t="shared" si="9"/>
        <v>9.9360000000000017</v>
      </c>
    </row>
    <row r="112" spans="1:17">
      <c r="A112" s="1376"/>
      <c r="B112" s="1378"/>
      <c r="C112" s="924"/>
      <c r="D112" s="750" t="s">
        <v>621</v>
      </c>
      <c r="E112" s="785">
        <f t="shared" si="8"/>
        <v>13.64</v>
      </c>
      <c r="H112" s="764"/>
      <c r="M112" s="1377"/>
      <c r="N112" s="1378"/>
      <c r="O112" s="924"/>
      <c r="P112" s="750" t="s">
        <v>635</v>
      </c>
      <c r="Q112" s="785">
        <f t="shared" si="9"/>
        <v>13.64</v>
      </c>
    </row>
    <row r="113" spans="1:17">
      <c r="A113" s="1376"/>
      <c r="B113" s="1378"/>
      <c r="C113" s="906" t="s">
        <v>586</v>
      </c>
      <c r="D113" s="761" t="s">
        <v>597</v>
      </c>
      <c r="E113" s="783">
        <f t="shared" si="8"/>
        <v>7.7220000000000004</v>
      </c>
      <c r="H113" s="764"/>
      <c r="M113" s="1377"/>
      <c r="N113" s="1378"/>
      <c r="O113" s="906" t="s">
        <v>586</v>
      </c>
      <c r="P113" s="761" t="s">
        <v>597</v>
      </c>
      <c r="Q113" s="783">
        <f t="shared" si="9"/>
        <v>7.7220000000000004</v>
      </c>
    </row>
    <row r="114" spans="1:17">
      <c r="A114" s="1376"/>
      <c r="B114" s="1378"/>
      <c r="C114" s="924"/>
      <c r="D114" s="762" t="s">
        <v>826</v>
      </c>
      <c r="E114" s="785">
        <f t="shared" si="8"/>
        <v>5.9773999999999994</v>
      </c>
      <c r="H114" s="764"/>
      <c r="M114" s="1377"/>
      <c r="N114" s="1378"/>
      <c r="O114" s="924"/>
      <c r="P114" s="750" t="s">
        <v>842</v>
      </c>
      <c r="Q114" s="785">
        <f t="shared" si="9"/>
        <v>5.9773999999999994</v>
      </c>
    </row>
    <row r="115" spans="1:17">
      <c r="A115" s="1376"/>
      <c r="B115" s="1378"/>
      <c r="C115" s="906" t="s">
        <v>19</v>
      </c>
      <c r="D115" s="760" t="s">
        <v>596</v>
      </c>
      <c r="E115" s="783">
        <f t="shared" si="8"/>
        <v>8.6669999999999998</v>
      </c>
      <c r="H115" s="764"/>
      <c r="M115" s="1377"/>
      <c r="N115" s="1378"/>
      <c r="O115" s="906" t="s">
        <v>19</v>
      </c>
      <c r="P115" s="760" t="s">
        <v>596</v>
      </c>
      <c r="Q115" s="783">
        <f t="shared" si="9"/>
        <v>8.6669999999999998</v>
      </c>
    </row>
    <row r="116" spans="1:17">
      <c r="A116" s="1376"/>
      <c r="B116" s="1378"/>
      <c r="C116" s="923"/>
      <c r="D116" s="761" t="s">
        <v>823</v>
      </c>
      <c r="E116" s="784">
        <f t="shared" si="8"/>
        <v>11.07</v>
      </c>
      <c r="H116" s="764"/>
      <c r="M116" s="1377"/>
      <c r="N116" s="1378"/>
      <c r="O116" s="923"/>
      <c r="P116" s="761" t="s">
        <v>823</v>
      </c>
      <c r="Q116" s="784">
        <f t="shared" si="9"/>
        <v>11.07</v>
      </c>
    </row>
    <row r="117" spans="1:17">
      <c r="A117" s="1376"/>
      <c r="B117" s="1378"/>
      <c r="C117" s="924"/>
      <c r="D117" s="750" t="s">
        <v>620</v>
      </c>
      <c r="E117" s="900">
        <f t="shared" ref="E117" si="10">E90</f>
        <v>20.149999999999999</v>
      </c>
      <c r="H117" s="764"/>
      <c r="M117" s="1377"/>
      <c r="N117" s="1378"/>
      <c r="O117" s="924"/>
      <c r="P117" s="750" t="s">
        <v>636</v>
      </c>
      <c r="Q117" s="900">
        <f t="shared" ref="Q117" si="11">Q90</f>
        <v>20.149999999999999</v>
      </c>
    </row>
    <row r="118" spans="1:17">
      <c r="A118" s="1376"/>
      <c r="B118" s="1378"/>
      <c r="C118" s="925" t="s">
        <v>588</v>
      </c>
      <c r="D118" s="896" t="s">
        <v>875</v>
      </c>
      <c r="E118" s="899">
        <f>E91</f>
        <v>2.9700000000000006</v>
      </c>
      <c r="H118" s="764"/>
      <c r="M118" s="1377"/>
      <c r="N118" s="1378"/>
      <c r="O118" s="925" t="s">
        <v>588</v>
      </c>
      <c r="P118" s="896" t="s">
        <v>875</v>
      </c>
      <c r="Q118" s="899">
        <f>Q91</f>
        <v>2.9700000000000006</v>
      </c>
    </row>
    <row r="119" spans="1:17">
      <c r="A119" s="1376"/>
      <c r="B119" s="1378"/>
      <c r="C119" s="865"/>
      <c r="D119" s="898" t="s">
        <v>872</v>
      </c>
      <c r="E119" s="901">
        <f>E92</f>
        <v>10.1</v>
      </c>
      <c r="H119" s="764"/>
      <c r="M119" s="1377"/>
      <c r="N119" s="1378"/>
      <c r="O119" s="865"/>
      <c r="P119" s="898" t="s">
        <v>873</v>
      </c>
      <c r="Q119" s="901">
        <f>Q92</f>
        <v>10.1</v>
      </c>
    </row>
    <row r="120" spans="1:17">
      <c r="E120" s="841">
        <f>SUM(E66:E117)</f>
        <v>502.7487999999999</v>
      </c>
      <c r="H120" s="764"/>
      <c r="P120" s="25"/>
      <c r="Q120" s="841">
        <f>SUM(Q66:Q117)</f>
        <v>502.7487999999999</v>
      </c>
    </row>
    <row r="121" spans="1:17">
      <c r="H121" s="764"/>
    </row>
    <row r="122" spans="1:17">
      <c r="H122" s="764"/>
      <c r="I122" s="1222" t="s">
        <v>923</v>
      </c>
      <c r="J122" s="1223"/>
      <c r="K122" s="1109">
        <f>7-1-1</f>
        <v>5</v>
      </c>
    </row>
    <row r="123" spans="1:17">
      <c r="H123" s="764"/>
    </row>
    <row r="124" spans="1:17">
      <c r="H124" s="764"/>
    </row>
    <row r="125" spans="1:17">
      <c r="H125" s="764"/>
    </row>
    <row r="126" spans="1:17">
      <c r="H126" s="764"/>
    </row>
    <row r="127" spans="1:17">
      <c r="H127" s="764"/>
    </row>
    <row r="128" spans="1:17">
      <c r="H128" s="764"/>
    </row>
    <row r="130" spans="1:14" ht="21">
      <c r="A130" s="463" t="s">
        <v>610</v>
      </c>
    </row>
    <row r="131" spans="1:14">
      <c r="A131" s="464" t="s">
        <v>589</v>
      </c>
      <c r="B131" s="465" t="s">
        <v>611</v>
      </c>
      <c r="C131" s="465"/>
      <c r="D131" s="820"/>
    </row>
    <row r="132" spans="1:14">
      <c r="A132" s="466" t="s">
        <v>813</v>
      </c>
      <c r="B132" s="3" t="s">
        <v>817</v>
      </c>
      <c r="C132" s="3"/>
      <c r="D132" s="821"/>
    </row>
    <row r="133" spans="1:14">
      <c r="A133" s="466" t="s">
        <v>819</v>
      </c>
      <c r="B133" s="3" t="s">
        <v>617</v>
      </c>
      <c r="C133" s="3"/>
      <c r="D133" s="821"/>
    </row>
    <row r="134" spans="1:14">
      <c r="A134" s="466" t="s">
        <v>816</v>
      </c>
      <c r="B134" s="3" t="s">
        <v>843</v>
      </c>
      <c r="C134" s="3"/>
      <c r="D134" s="821"/>
    </row>
    <row r="135" spans="1:14">
      <c r="A135" s="466" t="s">
        <v>818</v>
      </c>
      <c r="B135" s="3" t="s">
        <v>820</v>
      </c>
      <c r="C135" s="3"/>
      <c r="D135" s="821"/>
    </row>
    <row r="136" spans="1:14">
      <c r="A136" s="467" t="s">
        <v>836</v>
      </c>
      <c r="B136" s="468" t="s">
        <v>844</v>
      </c>
      <c r="C136" s="468"/>
      <c r="D136" s="822"/>
    </row>
    <row r="137" spans="1:14">
      <c r="K137" s="38"/>
      <c r="L137" s="3"/>
      <c r="M137" s="53"/>
      <c r="N137" s="713"/>
    </row>
    <row r="138" spans="1:14">
      <c r="F138" s="707" t="s">
        <v>428</v>
      </c>
      <c r="G138" s="707"/>
      <c r="H138" s="27" t="s">
        <v>32</v>
      </c>
      <c r="I138" s="320">
        <f>SUM(D9:D18)</f>
        <v>130.4564</v>
      </c>
      <c r="K138" s="707" t="s">
        <v>627</v>
      </c>
      <c r="L138" s="707"/>
      <c r="M138" s="27" t="s">
        <v>33</v>
      </c>
      <c r="N138" s="320">
        <f>N19</f>
        <v>4931.2519199999988</v>
      </c>
    </row>
    <row r="139" spans="1:14">
      <c r="F139" s="708" t="s">
        <v>628</v>
      </c>
      <c r="G139" s="709"/>
      <c r="H139" s="721" t="s">
        <v>32</v>
      </c>
      <c r="I139" s="320">
        <f>9.55*9.55</f>
        <v>91.202500000000015</v>
      </c>
      <c r="K139" s="707" t="s">
        <v>625</v>
      </c>
      <c r="L139" s="707"/>
      <c r="M139" s="162" t="s">
        <v>375</v>
      </c>
      <c r="N139" s="29">
        <f>I143/N138</f>
        <v>0.15540106496931924</v>
      </c>
    </row>
    <row r="140" spans="1:14">
      <c r="F140" s="707" t="s">
        <v>622</v>
      </c>
      <c r="G140" s="707"/>
      <c r="H140" s="721" t="s">
        <v>32</v>
      </c>
      <c r="I140" s="320">
        <f>E120</f>
        <v>502.7487999999999</v>
      </c>
    </row>
    <row r="141" spans="1:14">
      <c r="F141" s="707" t="s">
        <v>603</v>
      </c>
      <c r="G141" s="707"/>
      <c r="H141" s="721" t="s">
        <v>32</v>
      </c>
      <c r="I141" s="320">
        <f>K100</f>
        <v>254.90600000000006</v>
      </c>
    </row>
    <row r="142" spans="1:14">
      <c r="F142" s="710" t="s">
        <v>623</v>
      </c>
      <c r="G142" s="710"/>
      <c r="H142" s="27" t="s">
        <v>32</v>
      </c>
      <c r="I142" s="722">
        <f>Q88</f>
        <v>8.6669999999999998</v>
      </c>
    </row>
    <row r="143" spans="1:14">
      <c r="F143" s="708" t="s">
        <v>626</v>
      </c>
      <c r="G143" s="471"/>
      <c r="H143" s="27" t="s">
        <v>32</v>
      </c>
      <c r="I143" s="432">
        <f>SUM(I140:I142)</f>
        <v>766.32180000000005</v>
      </c>
    </row>
    <row r="144" spans="1:14">
      <c r="F144" s="470"/>
      <c r="G144" s="470"/>
      <c r="H144" s="34"/>
      <c r="I144" s="469"/>
    </row>
    <row r="154" ht="15" customHeight="1"/>
    <row r="164" spans="20:24">
      <c r="T164" s="19"/>
      <c r="U164" s="19"/>
      <c r="V164" s="25"/>
      <c r="W164" s="19"/>
      <c r="X164" s="19"/>
    </row>
    <row r="171" spans="20:24" ht="15" customHeight="1"/>
  </sheetData>
  <mergeCells count="92">
    <mergeCell ref="A6:A18"/>
    <mergeCell ref="O9:P9"/>
    <mergeCell ref="N58:O58"/>
    <mergeCell ref="G59:K59"/>
    <mergeCell ref="L59:M59"/>
    <mergeCell ref="N59:O59"/>
    <mergeCell ref="F58:F60"/>
    <mergeCell ref="G58:K58"/>
    <mergeCell ref="A44:B44"/>
    <mergeCell ref="D42:E42"/>
    <mergeCell ref="D43:E43"/>
    <mergeCell ref="D44:E44"/>
    <mergeCell ref="L23:M23"/>
    <mergeCell ref="G36:H38"/>
    <mergeCell ref="A50:B50"/>
    <mergeCell ref="A51:B51"/>
    <mergeCell ref="I9:J9"/>
    <mergeCell ref="I10:J10"/>
    <mergeCell ref="B2:E3"/>
    <mergeCell ref="F23:F25"/>
    <mergeCell ref="I11:J11"/>
    <mergeCell ref="I12:J12"/>
    <mergeCell ref="G25:K25"/>
    <mergeCell ref="G24:K24"/>
    <mergeCell ref="A49:B49"/>
    <mergeCell ref="D45:E45"/>
    <mergeCell ref="N1:O1"/>
    <mergeCell ref="N2:O2"/>
    <mergeCell ref="N3:O3"/>
    <mergeCell ref="I6:J8"/>
    <mergeCell ref="F1:F3"/>
    <mergeCell ref="G1:K1"/>
    <mergeCell ref="G2:K2"/>
    <mergeCell ref="G3:K3"/>
    <mergeCell ref="L1:M1"/>
    <mergeCell ref="L2:M2"/>
    <mergeCell ref="L3:M3"/>
    <mergeCell ref="B1:E1"/>
    <mergeCell ref="B24:E25"/>
    <mergeCell ref="A32:B33"/>
    <mergeCell ref="A42:B42"/>
    <mergeCell ref="A43:B43"/>
    <mergeCell ref="D47:E47"/>
    <mergeCell ref="D48:E48"/>
    <mergeCell ref="D41:E41"/>
    <mergeCell ref="D46:E46"/>
    <mergeCell ref="N23:O23"/>
    <mergeCell ref="L24:M24"/>
    <mergeCell ref="N24:O24"/>
    <mergeCell ref="A40:B40"/>
    <mergeCell ref="A39:B39"/>
    <mergeCell ref="A37:C37"/>
    <mergeCell ref="D37:F37"/>
    <mergeCell ref="A36:F36"/>
    <mergeCell ref="A38:B38"/>
    <mergeCell ref="D38:E38"/>
    <mergeCell ref="B23:E23"/>
    <mergeCell ref="G23:K23"/>
    <mergeCell ref="D39:E39"/>
    <mergeCell ref="D40:E40"/>
    <mergeCell ref="L25:M25"/>
    <mergeCell ref="N25:O25"/>
    <mergeCell ref="M66:M119"/>
    <mergeCell ref="N93:N119"/>
    <mergeCell ref="A28:C29"/>
    <mergeCell ref="A30:C30"/>
    <mergeCell ref="B58:E58"/>
    <mergeCell ref="D51:E51"/>
    <mergeCell ref="A45:B45"/>
    <mergeCell ref="A46:B46"/>
    <mergeCell ref="A47:B47"/>
    <mergeCell ref="A48:B48"/>
    <mergeCell ref="D49:E49"/>
    <mergeCell ref="D50:E50"/>
    <mergeCell ref="D52:E52"/>
    <mergeCell ref="N66:N92"/>
    <mergeCell ref="B93:B119"/>
    <mergeCell ref="A41:B41"/>
    <mergeCell ref="B59:E60"/>
    <mergeCell ref="A52:B52"/>
    <mergeCell ref="H66:H82"/>
    <mergeCell ref="G66:G99"/>
    <mergeCell ref="H83:H99"/>
    <mergeCell ref="B66:B92"/>
    <mergeCell ref="A63:B65"/>
    <mergeCell ref="G63:H65"/>
    <mergeCell ref="A66:A119"/>
    <mergeCell ref="M63:N65"/>
    <mergeCell ref="L58:M58"/>
    <mergeCell ref="G60:K60"/>
    <mergeCell ref="L60:M60"/>
    <mergeCell ref="N60:O60"/>
  </mergeCells>
  <hyperlinks>
    <hyperlink ref="F33" r:id="rId1" xr:uid="{00000000-0004-0000-0100-000000000000}"/>
  </hyperlinks>
  <printOptions horizontalCentered="1" verticalCentered="1"/>
  <pageMargins left="0.39370078740157483" right="0.39370078740157483" top="0.39370078740157483" bottom="0.39370078740157483" header="0.11811023622047245" footer="0.11811023622047245"/>
  <pageSetup paperSize="9" scale="73" orientation="landscape" horizontalDpi="300" verticalDpi="300" r:id="rId2"/>
  <rowBreaks count="2" manualBreakCount="2">
    <brk id="22" max="16383" man="1"/>
    <brk id="57" max="16383" man="1"/>
  </rowBreaks>
  <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Q105"/>
  <sheetViews>
    <sheetView topLeftCell="G1" zoomScale="60" zoomScaleNormal="60" zoomScalePageLayoutView="145" workbookViewId="0">
      <selection activeCell="K4" sqref="K4"/>
    </sheetView>
  </sheetViews>
  <sheetFormatPr baseColWidth="10" defaultColWidth="8.83203125" defaultRowHeight="15"/>
  <cols>
    <col min="1" max="1" width="12.6640625" style="19" customWidth="1"/>
    <col min="2" max="7" width="13.6640625" style="19" customWidth="1"/>
    <col min="8" max="10" width="12.6640625" style="19" customWidth="1"/>
    <col min="11" max="11" width="12.6640625" style="25" customWidth="1"/>
    <col min="12" max="20" width="12.6640625" style="19" customWidth="1"/>
    <col min="21" max="22" width="8.83203125" style="19"/>
  </cols>
  <sheetData>
    <row r="1" spans="1:43" ht="15" customHeight="1">
      <c r="A1" s="150" t="s">
        <v>0</v>
      </c>
      <c r="B1" s="1402" t="s">
        <v>566</v>
      </c>
      <c r="C1" s="1403"/>
      <c r="D1" s="1403"/>
      <c r="E1" s="1403"/>
      <c r="F1" s="1403"/>
      <c r="G1" s="1403"/>
      <c r="H1" s="1403"/>
      <c r="I1" s="1404"/>
      <c r="J1" s="1411"/>
      <c r="K1" s="1402" t="s">
        <v>567</v>
      </c>
      <c r="L1" s="1403"/>
      <c r="M1" s="1403"/>
      <c r="N1" s="1403"/>
      <c r="O1" s="1404"/>
      <c r="P1" s="1352" t="s">
        <v>5</v>
      </c>
      <c r="Q1" s="1353"/>
      <c r="R1" s="1352" t="s">
        <v>6</v>
      </c>
      <c r="S1" s="1353"/>
    </row>
    <row r="2" spans="1:43" ht="15" customHeight="1">
      <c r="A2" s="47">
        <v>2</v>
      </c>
      <c r="B2" s="1475" t="s">
        <v>40</v>
      </c>
      <c r="C2" s="1476"/>
      <c r="D2" s="1476"/>
      <c r="E2" s="1476"/>
      <c r="F2" s="1476"/>
      <c r="G2" s="1476"/>
      <c r="H2" s="1476"/>
      <c r="I2" s="1477"/>
      <c r="J2" s="1412"/>
      <c r="K2" s="1414" t="s">
        <v>568</v>
      </c>
      <c r="L2" s="1415"/>
      <c r="M2" s="1415"/>
      <c r="N2" s="1415"/>
      <c r="O2" s="1416"/>
      <c r="P2" s="1391" t="str">
        <f>'1.Dati'!L2</f>
        <v>Prof. R. RICCIU</v>
      </c>
      <c r="Q2" s="1392"/>
      <c r="R2" s="1391" t="str">
        <f>'1.Dati'!N2</f>
        <v>X</v>
      </c>
      <c r="S2" s="1392"/>
    </row>
    <row r="3" spans="1:43">
      <c r="A3" s="48" t="s">
        <v>62</v>
      </c>
      <c r="B3" s="1478"/>
      <c r="C3" s="1479"/>
      <c r="D3" s="1479"/>
      <c r="E3" s="1479"/>
      <c r="F3" s="1479"/>
      <c r="G3" s="1479"/>
      <c r="H3" s="1479"/>
      <c r="I3" s="1480"/>
      <c r="J3" s="1413"/>
      <c r="K3" s="1354" t="str">
        <f>'1.Dati'!G3</f>
        <v>LAB. INTEGR. DI PROG. TECN. (TERMOFISICA DELL'EDIFICIO) a.a. 2019/2020</v>
      </c>
      <c r="L3" s="1355"/>
      <c r="M3" s="1355"/>
      <c r="N3" s="1355"/>
      <c r="O3" s="1356"/>
      <c r="P3" s="1357" t="s">
        <v>1028</v>
      </c>
      <c r="Q3" s="1358"/>
      <c r="R3" s="1357" t="str">
        <f>'1.Dati'!N3</f>
        <v>Y</v>
      </c>
      <c r="S3" s="1358"/>
    </row>
    <row r="4" spans="1:43" ht="34" customHeight="1">
      <c r="A4" s="343"/>
      <c r="B4" s="21"/>
      <c r="C4" s="21"/>
      <c r="D4" s="21"/>
      <c r="E4" s="21"/>
      <c r="F4" s="21"/>
      <c r="G4" s="21"/>
      <c r="H4" s="21"/>
      <c r="I4" s="21"/>
      <c r="J4" s="30"/>
      <c r="K4" s="45"/>
      <c r="L4" s="36"/>
      <c r="M4" s="36"/>
      <c r="N4" s="36"/>
      <c r="O4" s="36"/>
      <c r="P4" s="37"/>
      <c r="Q4" s="37"/>
      <c r="R4" s="37"/>
      <c r="S4" s="37"/>
    </row>
    <row r="5" spans="1:43" ht="34" customHeight="1">
      <c r="A5" s="343"/>
      <c r="B5" s="21"/>
      <c r="C5" s="21"/>
      <c r="D5" s="21"/>
      <c r="E5" s="21"/>
      <c r="F5" s="21"/>
      <c r="G5" s="21"/>
      <c r="H5" s="21"/>
      <c r="I5" s="21"/>
      <c r="J5" s="30"/>
      <c r="K5" s="45"/>
      <c r="L5" s="36"/>
      <c r="M5" s="36"/>
      <c r="N5" s="36"/>
      <c r="O5" s="36"/>
      <c r="P5" s="37"/>
      <c r="Q5" s="37"/>
      <c r="R5" s="37"/>
      <c r="S5" s="37"/>
    </row>
    <row r="6" spans="1:43" ht="34" customHeight="1">
      <c r="A6" s="1425" t="s">
        <v>953</v>
      </c>
      <c r="B6" s="1426"/>
      <c r="C6" s="1426"/>
      <c r="D6" s="1426"/>
      <c r="E6" s="1426"/>
      <c r="F6" s="1426"/>
      <c r="G6" s="1426"/>
      <c r="H6" s="1426"/>
      <c r="I6" s="1426"/>
      <c r="J6" s="1426"/>
      <c r="K6" s="1426"/>
      <c r="L6" s="1427"/>
      <c r="M6" s="1446"/>
      <c r="N6" s="1447"/>
      <c r="O6" s="1447"/>
      <c r="P6" s="1447"/>
      <c r="Q6" s="1447"/>
      <c r="R6" s="1447"/>
      <c r="S6" s="1448"/>
      <c r="Y6" s="1425" t="s">
        <v>936</v>
      </c>
      <c r="Z6" s="1426"/>
      <c r="AA6" s="1426"/>
      <c r="AB6" s="1426"/>
      <c r="AC6" s="1426"/>
      <c r="AD6" s="1426"/>
      <c r="AE6" s="1426"/>
      <c r="AF6" s="1426"/>
      <c r="AG6" s="1426"/>
      <c r="AH6" s="1426"/>
      <c r="AI6" s="1426"/>
      <c r="AJ6" s="1427"/>
      <c r="AK6" s="1446"/>
      <c r="AL6" s="1447"/>
      <c r="AM6" s="1447"/>
      <c r="AN6" s="1447"/>
      <c r="AO6" s="1447"/>
      <c r="AP6" s="1447"/>
      <c r="AQ6" s="1448"/>
    </row>
    <row r="7" spans="1:43" ht="34" customHeight="1">
      <c r="A7" s="1455" t="s">
        <v>935</v>
      </c>
      <c r="B7" s="1437" t="s">
        <v>393</v>
      </c>
      <c r="C7" s="1438"/>
      <c r="D7" s="1438"/>
      <c r="E7" s="1438"/>
      <c r="F7" s="1438"/>
      <c r="G7" s="1438"/>
      <c r="H7" s="1439"/>
      <c r="I7" s="787" t="s">
        <v>59</v>
      </c>
      <c r="J7" s="819" t="s">
        <v>58</v>
      </c>
      <c r="K7" s="1250" t="s">
        <v>57</v>
      </c>
      <c r="L7" s="819" t="s">
        <v>392</v>
      </c>
      <c r="M7" s="1449"/>
      <c r="N7" s="1450"/>
      <c r="O7" s="1450"/>
      <c r="P7" s="1450"/>
      <c r="Q7" s="1450"/>
      <c r="R7" s="1450"/>
      <c r="S7" s="1451"/>
      <c r="Y7" s="1455" t="s">
        <v>935</v>
      </c>
      <c r="Z7" s="1437" t="s">
        <v>393</v>
      </c>
      <c r="AA7" s="1438"/>
      <c r="AB7" s="1438"/>
      <c r="AC7" s="1438"/>
      <c r="AD7" s="1438"/>
      <c r="AE7" s="1438"/>
      <c r="AF7" s="1439"/>
      <c r="AG7" s="787" t="s">
        <v>59</v>
      </c>
      <c r="AH7" s="819" t="s">
        <v>58</v>
      </c>
      <c r="AI7" s="1235" t="s">
        <v>57</v>
      </c>
      <c r="AJ7" s="819" t="s">
        <v>392</v>
      </c>
      <c r="AK7" s="1449"/>
      <c r="AL7" s="1450"/>
      <c r="AM7" s="1450"/>
      <c r="AN7" s="1450"/>
      <c r="AO7" s="1450"/>
      <c r="AP7" s="1450"/>
      <c r="AQ7" s="1451"/>
    </row>
    <row r="8" spans="1:43" ht="34" customHeight="1">
      <c r="A8" s="1456"/>
      <c r="B8" s="1440" t="s">
        <v>394</v>
      </c>
      <c r="C8" s="1441"/>
      <c r="D8" s="1441"/>
      <c r="E8" s="1441"/>
      <c r="F8" s="1441"/>
      <c r="G8" s="1441"/>
      <c r="H8" s="1442"/>
      <c r="I8" s="1251" t="s">
        <v>41</v>
      </c>
      <c r="J8" s="179" t="s">
        <v>42</v>
      </c>
      <c r="K8" s="173" t="s">
        <v>43</v>
      </c>
      <c r="L8" s="1241" t="s">
        <v>24</v>
      </c>
      <c r="M8" s="1449"/>
      <c r="N8" s="1450"/>
      <c r="O8" s="1450"/>
      <c r="P8" s="1450"/>
      <c r="Q8" s="1450"/>
      <c r="R8" s="1450"/>
      <c r="S8" s="1451"/>
      <c r="Y8" s="1456"/>
      <c r="Z8" s="1440" t="s">
        <v>394</v>
      </c>
      <c r="AA8" s="1441"/>
      <c r="AB8" s="1441"/>
      <c r="AC8" s="1441"/>
      <c r="AD8" s="1441"/>
      <c r="AE8" s="1441"/>
      <c r="AF8" s="1442"/>
      <c r="AG8" s="1236" t="s">
        <v>41</v>
      </c>
      <c r="AH8" s="179" t="s">
        <v>42</v>
      </c>
      <c r="AI8" s="173" t="s">
        <v>43</v>
      </c>
      <c r="AJ8" s="1227" t="s">
        <v>24</v>
      </c>
      <c r="AK8" s="1449"/>
      <c r="AL8" s="1450"/>
      <c r="AM8" s="1450"/>
      <c r="AN8" s="1450"/>
      <c r="AO8" s="1450"/>
      <c r="AP8" s="1450"/>
      <c r="AQ8" s="1451"/>
    </row>
    <row r="9" spans="1:43" ht="15" customHeight="1">
      <c r="A9" s="1456"/>
      <c r="B9" s="1443"/>
      <c r="C9" s="1444"/>
      <c r="D9" s="1444"/>
      <c r="E9" s="1444"/>
      <c r="F9" s="1444"/>
      <c r="G9" s="1444"/>
      <c r="H9" s="1445"/>
      <c r="I9" s="1249" t="s">
        <v>31</v>
      </c>
      <c r="J9" s="1249" t="s">
        <v>44</v>
      </c>
      <c r="K9" s="175" t="s">
        <v>45</v>
      </c>
      <c r="L9" s="1242"/>
      <c r="M9" s="1449"/>
      <c r="N9" s="1450"/>
      <c r="O9" s="1450"/>
      <c r="P9" s="1450"/>
      <c r="Q9" s="1450"/>
      <c r="R9" s="1450"/>
      <c r="S9" s="1451"/>
      <c r="Y9" s="1456"/>
      <c r="Z9" s="1443"/>
      <c r="AA9" s="1444"/>
      <c r="AB9" s="1444"/>
      <c r="AC9" s="1444"/>
      <c r="AD9" s="1444"/>
      <c r="AE9" s="1444"/>
      <c r="AF9" s="1445"/>
      <c r="AG9" s="1234" t="s">
        <v>31</v>
      </c>
      <c r="AH9" s="1234" t="s">
        <v>44</v>
      </c>
      <c r="AI9" s="175" t="s">
        <v>45</v>
      </c>
      <c r="AJ9" s="1228"/>
      <c r="AK9" s="1449"/>
      <c r="AL9" s="1450"/>
      <c r="AM9" s="1450"/>
      <c r="AN9" s="1450"/>
      <c r="AO9" s="1450"/>
      <c r="AP9" s="1450"/>
      <c r="AQ9" s="1451"/>
    </row>
    <row r="10" spans="1:43" ht="15" customHeight="1">
      <c r="A10" s="1456"/>
      <c r="B10" s="1431" t="s">
        <v>932</v>
      </c>
      <c r="C10" s="1432"/>
      <c r="D10" s="1432"/>
      <c r="E10" s="1432"/>
      <c r="F10" s="1432"/>
      <c r="G10" s="1433"/>
      <c r="H10" s="1247">
        <v>1</v>
      </c>
      <c r="I10" s="250">
        <v>0.01</v>
      </c>
      <c r="J10" s="250">
        <v>1</v>
      </c>
      <c r="K10" s="1244">
        <f>I10/J10</f>
        <v>0.01</v>
      </c>
      <c r="L10" s="1238" t="s">
        <v>53</v>
      </c>
      <c r="M10" s="1449"/>
      <c r="N10" s="1450"/>
      <c r="O10" s="1450"/>
      <c r="P10" s="1450"/>
      <c r="Q10" s="1450"/>
      <c r="R10" s="1450"/>
      <c r="S10" s="1451"/>
      <c r="Y10" s="1456"/>
      <c r="Z10" s="1431" t="s">
        <v>932</v>
      </c>
      <c r="AA10" s="1432"/>
      <c r="AB10" s="1432"/>
      <c r="AC10" s="1432"/>
      <c r="AD10" s="1432"/>
      <c r="AE10" s="1433"/>
      <c r="AF10" s="1232">
        <v>1</v>
      </c>
      <c r="AG10" s="250">
        <v>0.01</v>
      </c>
      <c r="AH10" s="250">
        <v>1</v>
      </c>
      <c r="AI10" s="1229">
        <f>AG10/AH10</f>
        <v>0.01</v>
      </c>
      <c r="AJ10" s="1224" t="s">
        <v>53</v>
      </c>
      <c r="AK10" s="1449"/>
      <c r="AL10" s="1450"/>
      <c r="AM10" s="1450"/>
      <c r="AN10" s="1450"/>
      <c r="AO10" s="1450"/>
      <c r="AP10" s="1450"/>
      <c r="AQ10" s="1451"/>
    </row>
    <row r="11" spans="1:43" ht="15" customHeight="1">
      <c r="A11" s="1456"/>
      <c r="B11" s="1431" t="s">
        <v>933</v>
      </c>
      <c r="C11" s="1432"/>
      <c r="D11" s="1432"/>
      <c r="E11" s="1432"/>
      <c r="F11" s="1432"/>
      <c r="G11" s="1433"/>
      <c r="H11" s="1247">
        <v>2</v>
      </c>
      <c r="I11" s="251">
        <v>0.1</v>
      </c>
      <c r="J11" s="251">
        <f>I11/K11</f>
        <v>0.55555555555555558</v>
      </c>
      <c r="K11" s="1244">
        <v>0.18</v>
      </c>
      <c r="L11" s="1239" t="s">
        <v>943</v>
      </c>
      <c r="M11" s="1449"/>
      <c r="N11" s="1450"/>
      <c r="O11" s="1450"/>
      <c r="P11" s="1450"/>
      <c r="Q11" s="1450"/>
      <c r="R11" s="1450"/>
      <c r="S11" s="1451"/>
      <c r="Y11" s="1456"/>
      <c r="Z11" s="1431" t="s">
        <v>933</v>
      </c>
      <c r="AA11" s="1432"/>
      <c r="AB11" s="1432"/>
      <c r="AC11" s="1432"/>
      <c r="AD11" s="1432"/>
      <c r="AE11" s="1433"/>
      <c r="AF11" s="1232">
        <v>2</v>
      </c>
      <c r="AG11" s="251">
        <v>0.09</v>
      </c>
      <c r="AH11" s="251">
        <f>AG11/AI11</f>
        <v>0.5</v>
      </c>
      <c r="AI11" s="1230">
        <v>0.18</v>
      </c>
      <c r="AJ11" s="1239" t="s">
        <v>943</v>
      </c>
      <c r="AK11" s="1449"/>
      <c r="AL11" s="1450"/>
      <c r="AM11" s="1450"/>
      <c r="AN11" s="1450"/>
      <c r="AO11" s="1450"/>
      <c r="AP11" s="1450"/>
      <c r="AQ11" s="1451"/>
    </row>
    <row r="12" spans="1:43" ht="15" customHeight="1">
      <c r="A12" s="1456"/>
      <c r="B12" s="1431" t="s">
        <v>931</v>
      </c>
      <c r="C12" s="1432"/>
      <c r="D12" s="1432"/>
      <c r="E12" s="1432"/>
      <c r="F12" s="1432"/>
      <c r="G12" s="1433"/>
      <c r="H12" s="1247">
        <v>3</v>
      </c>
      <c r="I12" s="251">
        <v>0</v>
      </c>
      <c r="J12" s="251"/>
      <c r="K12" s="1244"/>
      <c r="L12" s="1239"/>
      <c r="M12" s="1449"/>
      <c r="N12" s="1450"/>
      <c r="O12" s="1450"/>
      <c r="P12" s="1450"/>
      <c r="Q12" s="1450"/>
      <c r="R12" s="1450"/>
      <c r="S12" s="1451"/>
      <c r="Y12" s="1456"/>
      <c r="Z12" s="1431" t="s">
        <v>931</v>
      </c>
      <c r="AA12" s="1432"/>
      <c r="AB12" s="1432"/>
      <c r="AC12" s="1432"/>
      <c r="AD12" s="1432"/>
      <c r="AE12" s="1433"/>
      <c r="AF12" s="1232">
        <v>3</v>
      </c>
      <c r="AG12" s="251">
        <v>0</v>
      </c>
      <c r="AH12" s="251"/>
      <c r="AI12" s="1230"/>
      <c r="AJ12" s="1225"/>
      <c r="AK12" s="1449"/>
      <c r="AL12" s="1450"/>
      <c r="AM12" s="1450"/>
      <c r="AN12" s="1450"/>
      <c r="AO12" s="1450"/>
      <c r="AP12" s="1450"/>
      <c r="AQ12" s="1451"/>
    </row>
    <row r="13" spans="1:43" ht="15" customHeight="1">
      <c r="A13" s="1456"/>
      <c r="B13" s="1431" t="s">
        <v>937</v>
      </c>
      <c r="C13" s="1432"/>
      <c r="D13" s="1432"/>
      <c r="E13" s="1432"/>
      <c r="F13" s="1432"/>
      <c r="G13" s="1433"/>
      <c r="H13" s="1247">
        <v>4</v>
      </c>
      <c r="I13" s="251">
        <v>1.2500000000000001E-2</v>
      </c>
      <c r="J13" s="251">
        <v>0.21</v>
      </c>
      <c r="K13" s="1244">
        <f>I13/J13</f>
        <v>5.9523809523809527E-2</v>
      </c>
      <c r="L13" s="1239" t="s">
        <v>47</v>
      </c>
      <c r="M13" s="1449"/>
      <c r="N13" s="1450"/>
      <c r="O13" s="1450"/>
      <c r="P13" s="1450"/>
      <c r="Q13" s="1450"/>
      <c r="R13" s="1450"/>
      <c r="S13" s="1451"/>
      <c r="Y13" s="1456"/>
      <c r="Z13" s="1431" t="s">
        <v>938</v>
      </c>
      <c r="AA13" s="1432"/>
      <c r="AB13" s="1432"/>
      <c r="AC13" s="1432"/>
      <c r="AD13" s="1432"/>
      <c r="AE13" s="1433"/>
      <c r="AF13" s="1232">
        <v>4</v>
      </c>
      <c r="AG13" s="251">
        <v>0.06</v>
      </c>
      <c r="AH13" s="251">
        <v>4.2999999999999997E-2</v>
      </c>
      <c r="AI13" s="1230">
        <v>0.2</v>
      </c>
      <c r="AJ13" s="1225" t="s">
        <v>53</v>
      </c>
      <c r="AK13" s="1449"/>
      <c r="AL13" s="1450"/>
      <c r="AM13" s="1450"/>
      <c r="AN13" s="1450"/>
      <c r="AO13" s="1450"/>
      <c r="AP13" s="1450"/>
      <c r="AQ13" s="1451"/>
    </row>
    <row r="14" spans="1:43" ht="15" customHeight="1">
      <c r="A14" s="1456"/>
      <c r="B14" s="1431" t="s">
        <v>938</v>
      </c>
      <c r="C14" s="1432"/>
      <c r="D14" s="1432"/>
      <c r="E14" s="1432"/>
      <c r="F14" s="1432"/>
      <c r="G14" s="1433"/>
      <c r="H14" s="1247">
        <v>5</v>
      </c>
      <c r="I14" s="251">
        <v>0.1</v>
      </c>
      <c r="J14" s="251">
        <v>4.2999999999999997E-2</v>
      </c>
      <c r="K14" s="1244">
        <f t="shared" ref="K14:K18" si="0">I14/J14</f>
        <v>2.3255813953488373</v>
      </c>
      <c r="L14" s="1239" t="s">
        <v>53</v>
      </c>
      <c r="M14" s="1449"/>
      <c r="N14" s="1450"/>
      <c r="O14" s="1450"/>
      <c r="P14" s="1450"/>
      <c r="Q14" s="1450"/>
      <c r="R14" s="1450"/>
      <c r="S14" s="1451"/>
      <c r="U14" s="3"/>
      <c r="Y14" s="1456"/>
      <c r="Z14" s="1431" t="s">
        <v>941</v>
      </c>
      <c r="AA14" s="1432"/>
      <c r="AB14" s="1432"/>
      <c r="AC14" s="1432"/>
      <c r="AD14" s="1432"/>
      <c r="AE14" s="1433"/>
      <c r="AF14" s="1232">
        <v>5</v>
      </c>
      <c r="AG14" s="251">
        <f>0.015+0.015</f>
        <v>0.03</v>
      </c>
      <c r="AH14" s="251">
        <v>1.4E-2</v>
      </c>
      <c r="AI14" s="1230">
        <f>AG14/AH14</f>
        <v>2.1428571428571428</v>
      </c>
      <c r="AJ14" s="1225" t="s">
        <v>53</v>
      </c>
      <c r="AK14" s="1449"/>
      <c r="AL14" s="1450"/>
      <c r="AM14" s="1450"/>
      <c r="AN14" s="1450"/>
      <c r="AO14" s="1450"/>
      <c r="AP14" s="1450"/>
      <c r="AQ14" s="1451"/>
    </row>
    <row r="15" spans="1:43" ht="15" customHeight="1">
      <c r="A15" s="1456"/>
      <c r="B15" s="1431" t="s">
        <v>938</v>
      </c>
      <c r="C15" s="1432"/>
      <c r="D15" s="1432"/>
      <c r="E15" s="1432"/>
      <c r="F15" s="1432"/>
      <c r="G15" s="1433"/>
      <c r="H15" s="1247">
        <v>6</v>
      </c>
      <c r="I15" s="251">
        <v>0.08</v>
      </c>
      <c r="J15" s="251">
        <v>4.2999999999999997E-2</v>
      </c>
      <c r="K15" s="1244">
        <f t="shared" si="0"/>
        <v>1.86046511627907</v>
      </c>
      <c r="L15" s="1239" t="s">
        <v>53</v>
      </c>
      <c r="M15" s="1449"/>
      <c r="N15" s="1450"/>
      <c r="O15" s="1450"/>
      <c r="P15" s="1450"/>
      <c r="Q15" s="1450"/>
      <c r="R15" s="1450"/>
      <c r="S15" s="1451"/>
      <c r="Y15" s="1456"/>
      <c r="Z15" s="1431" t="s">
        <v>942</v>
      </c>
      <c r="AA15" s="1432"/>
      <c r="AB15" s="1432"/>
      <c r="AC15" s="1432"/>
      <c r="AD15" s="1432"/>
      <c r="AE15" s="1433"/>
      <c r="AF15" s="1232">
        <v>6</v>
      </c>
      <c r="AG15" s="251">
        <v>0.2</v>
      </c>
      <c r="AH15" s="251">
        <v>0.04</v>
      </c>
      <c r="AI15" s="1230">
        <f t="shared" ref="AI15:AI19" si="1">AG15/AH15</f>
        <v>5</v>
      </c>
      <c r="AJ15" s="1225" t="s">
        <v>53</v>
      </c>
      <c r="AK15" s="1449"/>
      <c r="AL15" s="1450"/>
      <c r="AM15" s="1450"/>
      <c r="AN15" s="1450"/>
      <c r="AO15" s="1450"/>
      <c r="AP15" s="1450"/>
      <c r="AQ15" s="1451"/>
    </row>
    <row r="16" spans="1:43" ht="15" customHeight="1">
      <c r="A16" s="1456"/>
      <c r="B16" s="1431" t="s">
        <v>934</v>
      </c>
      <c r="C16" s="1432"/>
      <c r="D16" s="1432"/>
      <c r="E16" s="1432"/>
      <c r="F16" s="1432"/>
      <c r="G16" s="1433"/>
      <c r="H16" s="1247">
        <v>7</v>
      </c>
      <c r="I16" s="251">
        <v>0.05</v>
      </c>
      <c r="J16" s="251">
        <v>2.5999999999999999E-2</v>
      </c>
      <c r="K16" s="1244">
        <f t="shared" si="0"/>
        <v>1.9230769230769234</v>
      </c>
      <c r="L16" s="1239" t="s">
        <v>47</v>
      </c>
      <c r="M16" s="1449"/>
      <c r="N16" s="1450"/>
      <c r="O16" s="1450"/>
      <c r="P16" s="1450"/>
      <c r="Q16" s="1450"/>
      <c r="R16" s="1450"/>
      <c r="S16" s="1451"/>
      <c r="T16" s="31"/>
      <c r="Y16" s="1456"/>
      <c r="Z16" s="1431" t="s">
        <v>941</v>
      </c>
      <c r="AA16" s="1432"/>
      <c r="AB16" s="1432"/>
      <c r="AC16" s="1432"/>
      <c r="AD16" s="1432"/>
      <c r="AE16" s="1433"/>
      <c r="AF16" s="1232">
        <v>7</v>
      </c>
      <c r="AG16" s="251">
        <v>1.7999999999999999E-2</v>
      </c>
      <c r="AH16" s="251">
        <v>1.4E-2</v>
      </c>
      <c r="AI16" s="1230">
        <f t="shared" si="1"/>
        <v>1.2857142857142856</v>
      </c>
      <c r="AJ16" s="1225" t="s">
        <v>53</v>
      </c>
      <c r="AK16" s="1449"/>
      <c r="AL16" s="1450"/>
      <c r="AM16" s="1450"/>
      <c r="AN16" s="1450"/>
      <c r="AO16" s="1450"/>
      <c r="AP16" s="1450"/>
      <c r="AQ16" s="1451"/>
    </row>
    <row r="17" spans="1:43" ht="15" customHeight="1">
      <c r="A17" s="1456"/>
      <c r="B17" s="1431" t="s">
        <v>939</v>
      </c>
      <c r="C17" s="1432"/>
      <c r="D17" s="1432"/>
      <c r="E17" s="1432"/>
      <c r="F17" s="1432"/>
      <c r="G17" s="1433"/>
      <c r="H17" s="1247">
        <v>8</v>
      </c>
      <c r="I17" s="251">
        <v>1.2500000000000001E-2</v>
      </c>
      <c r="J17" s="251">
        <v>0.21</v>
      </c>
      <c r="K17" s="1244">
        <f t="shared" si="0"/>
        <v>5.9523809523809527E-2</v>
      </c>
      <c r="L17" s="1239" t="s">
        <v>53</v>
      </c>
      <c r="M17" s="1449"/>
      <c r="N17" s="1450"/>
      <c r="O17" s="1450"/>
      <c r="P17" s="1450"/>
      <c r="Q17" s="1450"/>
      <c r="R17" s="1450"/>
      <c r="S17" s="1451"/>
      <c r="T17" s="32"/>
      <c r="V17" s="10"/>
      <c r="W17" s="43"/>
      <c r="Y17" s="1456"/>
      <c r="Z17" s="1431" t="s">
        <v>68</v>
      </c>
      <c r="AA17" s="1432"/>
      <c r="AB17" s="1432"/>
      <c r="AC17" s="1432"/>
      <c r="AD17" s="1432"/>
      <c r="AE17" s="1433"/>
      <c r="AF17" s="1232">
        <v>8</v>
      </c>
      <c r="AG17" s="251">
        <v>0.05</v>
      </c>
      <c r="AH17" s="251">
        <v>2.5999999999999999E-2</v>
      </c>
      <c r="AI17" s="1230">
        <f t="shared" si="1"/>
        <v>1.9230769230769234</v>
      </c>
      <c r="AJ17" s="1225" t="s">
        <v>53</v>
      </c>
      <c r="AK17" s="1449"/>
      <c r="AL17" s="1450"/>
      <c r="AM17" s="1450"/>
      <c r="AN17" s="1450"/>
      <c r="AO17" s="1450"/>
      <c r="AP17" s="1450"/>
      <c r="AQ17" s="1451"/>
    </row>
    <row r="18" spans="1:43" ht="15" customHeight="1">
      <c r="A18" s="1456"/>
      <c r="B18" s="1431" t="s">
        <v>940</v>
      </c>
      <c r="C18" s="1432"/>
      <c r="D18" s="1432"/>
      <c r="E18" s="1432"/>
      <c r="F18" s="1432"/>
      <c r="G18" s="1433"/>
      <c r="H18" s="1247">
        <v>9</v>
      </c>
      <c r="I18" s="251">
        <v>1.2500000000000001E-2</v>
      </c>
      <c r="J18" s="251">
        <v>0.47</v>
      </c>
      <c r="K18" s="1244">
        <f t="shared" si="0"/>
        <v>2.6595744680851068E-2</v>
      </c>
      <c r="L18" s="1239" t="s">
        <v>53</v>
      </c>
      <c r="M18" s="1449"/>
      <c r="N18" s="1450"/>
      <c r="O18" s="1450"/>
      <c r="P18" s="1450"/>
      <c r="Q18" s="1450"/>
      <c r="R18" s="1450"/>
      <c r="S18" s="1451"/>
      <c r="T18" s="33"/>
      <c r="Y18" s="1456"/>
      <c r="Z18" s="1431" t="s">
        <v>939</v>
      </c>
      <c r="AA18" s="1432"/>
      <c r="AB18" s="1432"/>
      <c r="AC18" s="1432"/>
      <c r="AD18" s="1432"/>
      <c r="AE18" s="1433"/>
      <c r="AF18" s="1232">
        <v>9</v>
      </c>
      <c r="AG18" s="251">
        <v>1.2500000000000001E-2</v>
      </c>
      <c r="AH18" s="251">
        <v>0.21</v>
      </c>
      <c r="AI18" s="1230">
        <f t="shared" si="1"/>
        <v>5.9523809523809527E-2</v>
      </c>
      <c r="AJ18" s="1225" t="s">
        <v>53</v>
      </c>
      <c r="AK18" s="1449"/>
      <c r="AL18" s="1450"/>
      <c r="AM18" s="1450"/>
      <c r="AN18" s="1450"/>
      <c r="AO18" s="1450"/>
      <c r="AP18" s="1450"/>
      <c r="AQ18" s="1451"/>
    </row>
    <row r="19" spans="1:43" ht="15" customHeight="1">
      <c r="A19" s="1456"/>
      <c r="B19" s="1431"/>
      <c r="C19" s="1432"/>
      <c r="D19" s="1432"/>
      <c r="E19" s="1432"/>
      <c r="F19" s="1432"/>
      <c r="G19" s="1433"/>
      <c r="H19" s="1237"/>
      <c r="I19" s="251"/>
      <c r="J19" s="251"/>
      <c r="K19" s="1244"/>
      <c r="L19" s="1239"/>
      <c r="M19" s="1452"/>
      <c r="N19" s="1453"/>
      <c r="O19" s="1453"/>
      <c r="P19" s="1453"/>
      <c r="Q19" s="1453"/>
      <c r="R19" s="1453"/>
      <c r="S19" s="1454"/>
      <c r="Y19" s="1456"/>
      <c r="Z19" s="1431" t="s">
        <v>940</v>
      </c>
      <c r="AA19" s="1432"/>
      <c r="AB19" s="1432"/>
      <c r="AC19" s="1432"/>
      <c r="AD19" s="1432"/>
      <c r="AE19" s="1433"/>
      <c r="AF19" s="1237">
        <v>10</v>
      </c>
      <c r="AG19" s="251">
        <v>1.2500000000000001E-2</v>
      </c>
      <c r="AH19" s="251">
        <v>0.47</v>
      </c>
      <c r="AI19" s="1230">
        <f t="shared" si="1"/>
        <v>2.6595744680851068E-2</v>
      </c>
      <c r="AJ19" s="1225" t="s">
        <v>53</v>
      </c>
      <c r="AK19" s="1452"/>
      <c r="AL19" s="1453"/>
      <c r="AM19" s="1453"/>
      <c r="AN19" s="1453"/>
      <c r="AO19" s="1453"/>
      <c r="AP19" s="1453"/>
      <c r="AQ19" s="1454"/>
    </row>
    <row r="20" spans="1:43" ht="15" customHeight="1">
      <c r="A20" s="1456"/>
      <c r="B20" s="1431" t="s">
        <v>54</v>
      </c>
      <c r="C20" s="1432"/>
      <c r="D20" s="1432"/>
      <c r="E20" s="1432"/>
      <c r="F20" s="1432"/>
      <c r="G20" s="1433"/>
      <c r="H20" s="1247" t="s">
        <v>390</v>
      </c>
      <c r="I20" s="251" t="s">
        <v>24</v>
      </c>
      <c r="J20" s="251" t="s">
        <v>24</v>
      </c>
      <c r="K20" s="1244">
        <v>0.04</v>
      </c>
      <c r="L20" s="1239" t="s">
        <v>49</v>
      </c>
      <c r="M20" s="1434" t="s">
        <v>60</v>
      </c>
      <c r="N20" s="1435"/>
      <c r="O20" s="1435"/>
      <c r="P20" s="1436"/>
      <c r="Q20" s="550" t="s">
        <v>395</v>
      </c>
      <c r="R20" s="529">
        <f>SUM(K10:K21)</f>
        <v>6.6147667984333003</v>
      </c>
      <c r="S20" s="385" t="s">
        <v>45</v>
      </c>
      <c r="T20" s="19" t="s">
        <v>613</v>
      </c>
      <c r="Y20" s="1456"/>
      <c r="Z20" s="1431" t="s">
        <v>54</v>
      </c>
      <c r="AA20" s="1432"/>
      <c r="AB20" s="1432"/>
      <c r="AC20" s="1432"/>
      <c r="AD20" s="1432"/>
      <c r="AE20" s="1433"/>
      <c r="AF20" s="1232" t="s">
        <v>390</v>
      </c>
      <c r="AG20" s="251" t="s">
        <v>24</v>
      </c>
      <c r="AH20" s="251" t="s">
        <v>24</v>
      </c>
      <c r="AI20" s="1230">
        <v>0.04</v>
      </c>
      <c r="AJ20" s="1225" t="s">
        <v>49</v>
      </c>
      <c r="AK20" s="1434" t="s">
        <v>60</v>
      </c>
      <c r="AL20" s="1435"/>
      <c r="AM20" s="1435"/>
      <c r="AN20" s="1436"/>
      <c r="AO20" s="550" t="s">
        <v>395</v>
      </c>
      <c r="AP20" s="529">
        <f>SUM(AI10:AI21)</f>
        <v>10.997767905853012</v>
      </c>
      <c r="AQ20" s="385" t="s">
        <v>45</v>
      </c>
    </row>
    <row r="21" spans="1:43" ht="15" customHeight="1">
      <c r="A21" s="1457"/>
      <c r="B21" s="1428" t="s">
        <v>55</v>
      </c>
      <c r="C21" s="1429"/>
      <c r="D21" s="1429"/>
      <c r="E21" s="1429"/>
      <c r="F21" s="1429"/>
      <c r="G21" s="1430"/>
      <c r="H21" s="1248" t="s">
        <v>391</v>
      </c>
      <c r="I21" s="1252" t="s">
        <v>24</v>
      </c>
      <c r="J21" s="1252" t="s">
        <v>24</v>
      </c>
      <c r="K21" s="1245">
        <v>0.13</v>
      </c>
      <c r="L21" s="1240" t="s">
        <v>49</v>
      </c>
      <c r="M21" s="1434" t="s">
        <v>61</v>
      </c>
      <c r="N21" s="1435"/>
      <c r="O21" s="1435"/>
      <c r="P21" s="1436"/>
      <c r="Q21" s="253" t="s">
        <v>396</v>
      </c>
      <c r="R21" s="227">
        <f>1/R20</f>
        <v>0.15117690925050431</v>
      </c>
      <c r="S21" s="386" t="s">
        <v>56</v>
      </c>
      <c r="Y21" s="1457"/>
      <c r="Z21" s="1428" t="s">
        <v>55</v>
      </c>
      <c r="AA21" s="1429"/>
      <c r="AB21" s="1429"/>
      <c r="AC21" s="1429"/>
      <c r="AD21" s="1429"/>
      <c r="AE21" s="1430"/>
      <c r="AF21" s="1233" t="s">
        <v>391</v>
      </c>
      <c r="AG21" s="1252" t="s">
        <v>24</v>
      </c>
      <c r="AH21" s="1252" t="s">
        <v>24</v>
      </c>
      <c r="AI21" s="1231">
        <v>0.13</v>
      </c>
      <c r="AJ21" s="1226" t="s">
        <v>49</v>
      </c>
      <c r="AK21" s="1434" t="s">
        <v>61</v>
      </c>
      <c r="AL21" s="1435"/>
      <c r="AM21" s="1435"/>
      <c r="AN21" s="1436"/>
      <c r="AO21" s="253" t="s">
        <v>396</v>
      </c>
      <c r="AP21" s="227">
        <f>1/AP20</f>
        <v>9.092754171215052E-2</v>
      </c>
      <c r="AQ21" s="386" t="s">
        <v>56</v>
      </c>
    </row>
    <row r="22" spans="1:43" ht="15" customHeight="1">
      <c r="A22"/>
      <c r="B22"/>
      <c r="C22"/>
      <c r="D22"/>
      <c r="E22"/>
      <c r="F22"/>
      <c r="G22"/>
      <c r="H22"/>
      <c r="I22" s="1253">
        <f>SUM(I10:I21)</f>
        <v>0.3775</v>
      </c>
      <c r="J22"/>
      <c r="K22"/>
      <c r="L22"/>
      <c r="M22"/>
      <c r="N22"/>
      <c r="O22"/>
      <c r="P22"/>
      <c r="Q22"/>
      <c r="R22"/>
      <c r="S22"/>
      <c r="AG22" s="1253">
        <f>SUM(AG10:AG21)</f>
        <v>0.48300000000000004</v>
      </c>
    </row>
    <row r="23" spans="1:43" ht="15" customHeight="1">
      <c r="A23" s="35"/>
      <c r="B23" s="3"/>
      <c r="C23" s="3"/>
      <c r="D23" s="3"/>
      <c r="E23" s="3"/>
      <c r="F23" s="3"/>
      <c r="Y23" s="19"/>
      <c r="Z23" s="19"/>
      <c r="AA23" s="19"/>
      <c r="AB23" s="19"/>
      <c r="AC23" s="19"/>
      <c r="AD23" s="19"/>
      <c r="AE23" s="19"/>
      <c r="AF23" s="19"/>
      <c r="AG23" s="19"/>
      <c r="AH23" s="19"/>
      <c r="AI23" s="19"/>
    </row>
    <row r="24" spans="1:43" ht="15" customHeight="1">
      <c r="A24" s="35"/>
      <c r="B24" s="3"/>
      <c r="C24" s="3"/>
      <c r="D24" s="3"/>
      <c r="E24" s="3"/>
      <c r="F24" s="3"/>
    </row>
    <row r="25" spans="1:43" ht="15" customHeight="1">
      <c r="A25" s="35"/>
      <c r="B25" s="3"/>
      <c r="C25" s="3"/>
      <c r="D25" s="3"/>
      <c r="E25" s="3"/>
      <c r="F25" s="3"/>
      <c r="Z25" t="s">
        <v>928</v>
      </c>
      <c r="AA25" t="s">
        <v>929</v>
      </c>
      <c r="AB25" t="s">
        <v>930</v>
      </c>
    </row>
    <row r="26" spans="1:43" ht="15" customHeight="1">
      <c r="A26" s="1425" t="s">
        <v>954</v>
      </c>
      <c r="B26" s="1426"/>
      <c r="C26" s="1426"/>
      <c r="D26" s="1426"/>
      <c r="E26" s="1426"/>
      <c r="F26" s="1426"/>
      <c r="G26" s="1426"/>
      <c r="H26" s="1426"/>
      <c r="I26" s="1426"/>
      <c r="J26" s="1426"/>
      <c r="K26" s="1426"/>
      <c r="L26" s="1427"/>
      <c r="M26" s="1446"/>
      <c r="N26" s="1447"/>
      <c r="O26" s="1447"/>
      <c r="P26" s="1447"/>
      <c r="Q26" s="1447"/>
      <c r="R26" s="1447"/>
      <c r="S26" s="1448"/>
      <c r="Y26" t="s">
        <v>360</v>
      </c>
      <c r="Z26">
        <v>1E-3</v>
      </c>
      <c r="AA26">
        <v>0.01</v>
      </c>
      <c r="AB26">
        <v>0.1</v>
      </c>
    </row>
    <row r="27" spans="1:43" ht="15" customHeight="1">
      <c r="A27" s="1455" t="s">
        <v>935</v>
      </c>
      <c r="B27" s="1437" t="s">
        <v>393</v>
      </c>
      <c r="C27" s="1438"/>
      <c r="D27" s="1438"/>
      <c r="E27" s="1438"/>
      <c r="F27" s="1438"/>
      <c r="G27" s="1438"/>
      <c r="H27" s="1439"/>
      <c r="I27" s="787" t="s">
        <v>59</v>
      </c>
      <c r="J27" s="819" t="s">
        <v>58</v>
      </c>
      <c r="K27" s="1250" t="s">
        <v>57</v>
      </c>
      <c r="L27" s="819" t="s">
        <v>392</v>
      </c>
      <c r="M27" s="1449"/>
      <c r="N27" s="1450"/>
      <c r="O27" s="1450"/>
      <c r="P27" s="1450"/>
      <c r="Q27" s="1450"/>
      <c r="R27" s="1450"/>
      <c r="S27" s="1451"/>
      <c r="Y27" t="s">
        <v>925</v>
      </c>
      <c r="Z27">
        <v>0.01</v>
      </c>
      <c r="AA27">
        <v>0.1</v>
      </c>
      <c r="AB27">
        <v>1</v>
      </c>
    </row>
    <row r="28" spans="1:43" ht="15" customHeight="1">
      <c r="A28" s="1456"/>
      <c r="B28" s="1440" t="s">
        <v>394</v>
      </c>
      <c r="C28" s="1441"/>
      <c r="D28" s="1441"/>
      <c r="E28" s="1441"/>
      <c r="F28" s="1441"/>
      <c r="G28" s="1441"/>
      <c r="H28" s="1442"/>
      <c r="I28" s="1251" t="s">
        <v>41</v>
      </c>
      <c r="J28" s="179" t="s">
        <v>42</v>
      </c>
      <c r="K28" s="173" t="s">
        <v>43</v>
      </c>
      <c r="L28" s="1241" t="s">
        <v>24</v>
      </c>
      <c r="M28" s="1449"/>
      <c r="N28" s="1450"/>
      <c r="O28" s="1450"/>
      <c r="P28" s="1450"/>
      <c r="Q28" s="1450"/>
      <c r="R28" s="1450"/>
      <c r="S28" s="1451"/>
      <c r="Y28" t="s">
        <v>926</v>
      </c>
      <c r="Z28">
        <v>0.1</v>
      </c>
      <c r="AA28">
        <v>1</v>
      </c>
      <c r="AB28">
        <v>10</v>
      </c>
    </row>
    <row r="29" spans="1:43" ht="15" customHeight="1">
      <c r="A29" s="1456"/>
      <c r="B29" s="1443"/>
      <c r="C29" s="1444"/>
      <c r="D29" s="1444"/>
      <c r="E29" s="1444"/>
      <c r="F29" s="1444"/>
      <c r="G29" s="1444"/>
      <c r="H29" s="1445"/>
      <c r="I29" s="1249" t="s">
        <v>31</v>
      </c>
      <c r="J29" s="1249" t="s">
        <v>44</v>
      </c>
      <c r="K29" s="175" t="s">
        <v>45</v>
      </c>
      <c r="L29" s="1242"/>
      <c r="M29" s="1449"/>
      <c r="N29" s="1450"/>
      <c r="O29" s="1450"/>
      <c r="P29" s="1450"/>
      <c r="Q29" s="1450"/>
      <c r="R29" s="1450"/>
      <c r="S29" s="1451"/>
      <c r="Y29" t="s">
        <v>927</v>
      </c>
      <c r="Z29">
        <v>1</v>
      </c>
      <c r="AA29">
        <v>10</v>
      </c>
      <c r="AB29">
        <v>100</v>
      </c>
    </row>
    <row r="30" spans="1:43" ht="15" customHeight="1">
      <c r="A30" s="1456"/>
      <c r="B30" s="1458" t="s">
        <v>52</v>
      </c>
      <c r="C30" s="1459"/>
      <c r="D30" s="1459"/>
      <c r="E30" s="1459"/>
      <c r="F30" s="1459"/>
      <c r="G30" s="1460"/>
      <c r="H30" s="1246">
        <v>1</v>
      </c>
      <c r="I30" s="250">
        <v>0.01</v>
      </c>
      <c r="J30" s="1243">
        <v>0.7</v>
      </c>
      <c r="K30" s="1243">
        <f>I30/J30</f>
        <v>1.4285714285714287E-2</v>
      </c>
      <c r="L30" s="1238" t="s">
        <v>53</v>
      </c>
      <c r="M30" s="1449"/>
      <c r="N30" s="1450"/>
      <c r="O30" s="1450"/>
      <c r="P30" s="1450"/>
      <c r="Q30" s="1450"/>
      <c r="R30" s="1450"/>
      <c r="S30" s="1451"/>
    </row>
    <row r="31" spans="1:43" ht="15" customHeight="1">
      <c r="A31" s="1456"/>
      <c r="B31" s="1431" t="s">
        <v>948</v>
      </c>
      <c r="C31" s="1432"/>
      <c r="D31" s="1432"/>
      <c r="E31" s="1432"/>
      <c r="F31" s="1432"/>
      <c r="G31" s="1433"/>
      <c r="H31" s="1247">
        <v>2</v>
      </c>
      <c r="I31" s="251">
        <v>0.2</v>
      </c>
      <c r="J31" s="251">
        <v>1.48</v>
      </c>
      <c r="K31" s="1244">
        <f>I31/J31</f>
        <v>0.13513513513513514</v>
      </c>
      <c r="L31" s="1239" t="s">
        <v>53</v>
      </c>
      <c r="M31" s="1449"/>
      <c r="N31" s="1450"/>
      <c r="O31" s="1450"/>
      <c r="P31" s="1450"/>
      <c r="Q31" s="1450"/>
      <c r="R31" s="1450"/>
      <c r="S31" s="1451"/>
    </row>
    <row r="32" spans="1:43" ht="15" customHeight="1">
      <c r="A32" s="1456"/>
      <c r="B32" s="1431" t="s">
        <v>924</v>
      </c>
      <c r="C32" s="1432"/>
      <c r="D32" s="1432"/>
      <c r="E32" s="1432"/>
      <c r="F32" s="1432"/>
      <c r="G32" s="1433"/>
      <c r="H32" s="1247">
        <v>3</v>
      </c>
      <c r="I32" s="251">
        <v>0.12</v>
      </c>
      <c r="J32" s="1244">
        <v>4.4999999999999998E-2</v>
      </c>
      <c r="K32" s="1244">
        <f>I32/J32</f>
        <v>2.6666666666666665</v>
      </c>
      <c r="L32" s="1239" t="s">
        <v>53</v>
      </c>
      <c r="M32" s="1449"/>
      <c r="N32" s="1450"/>
      <c r="O32" s="1450"/>
      <c r="P32" s="1450"/>
      <c r="Q32" s="1450"/>
      <c r="R32" s="1450"/>
      <c r="S32" s="1451"/>
    </row>
    <row r="33" spans="1:19" ht="15" customHeight="1">
      <c r="A33" s="1456"/>
      <c r="B33" s="1431" t="s">
        <v>66</v>
      </c>
      <c r="C33" s="1432"/>
      <c r="D33" s="1432"/>
      <c r="E33" s="1432"/>
      <c r="F33" s="1432"/>
      <c r="G33" s="1433"/>
      <c r="H33" s="1247">
        <v>4</v>
      </c>
      <c r="I33" s="251">
        <v>0.08</v>
      </c>
      <c r="J33" s="1244" t="s">
        <v>24</v>
      </c>
      <c r="K33" s="1244">
        <v>0.2</v>
      </c>
      <c r="L33" s="1239" t="s">
        <v>47</v>
      </c>
      <c r="M33" s="1449"/>
      <c r="N33" s="1450"/>
      <c r="O33" s="1450"/>
      <c r="P33" s="1450"/>
      <c r="Q33" s="1450"/>
      <c r="R33" s="1450"/>
      <c r="S33" s="1451"/>
    </row>
    <row r="34" spans="1:19" ht="15" customHeight="1">
      <c r="A34" s="1456"/>
      <c r="B34" s="1431" t="s">
        <v>67</v>
      </c>
      <c r="C34" s="1432"/>
      <c r="D34" s="1432"/>
      <c r="E34" s="1432"/>
      <c r="F34" s="1432"/>
      <c r="G34" s="1433"/>
      <c r="H34" s="1237">
        <v>5</v>
      </c>
      <c r="I34" s="251">
        <v>0.01</v>
      </c>
      <c r="J34" s="1244">
        <v>0.7</v>
      </c>
      <c r="K34" s="1244">
        <f>I34/J34</f>
        <v>1.4285714285714287E-2</v>
      </c>
      <c r="L34" s="1239" t="s">
        <v>53</v>
      </c>
      <c r="M34" s="1449"/>
      <c r="N34" s="1450"/>
      <c r="O34" s="1450"/>
      <c r="P34" s="1450"/>
      <c r="Q34" s="1450"/>
      <c r="R34" s="1450"/>
      <c r="S34" s="1451"/>
    </row>
    <row r="35" spans="1:19" ht="15" customHeight="1">
      <c r="A35" s="1456"/>
      <c r="B35" s="1431"/>
      <c r="C35" s="1432"/>
      <c r="D35" s="1432"/>
      <c r="E35" s="1432"/>
      <c r="F35" s="1432"/>
      <c r="G35" s="1433"/>
      <c r="H35" s="1247"/>
      <c r="I35" s="251"/>
      <c r="J35" s="251"/>
      <c r="K35" s="1244"/>
      <c r="L35" s="1239"/>
      <c r="M35" s="1449"/>
      <c r="N35" s="1450"/>
      <c r="O35" s="1450"/>
      <c r="P35" s="1450"/>
      <c r="Q35" s="1450"/>
      <c r="R35" s="1450"/>
      <c r="S35" s="1451"/>
    </row>
    <row r="36" spans="1:19" ht="15" customHeight="1">
      <c r="A36" s="1456"/>
      <c r="B36" s="1431"/>
      <c r="C36" s="1432"/>
      <c r="D36" s="1432"/>
      <c r="E36" s="1432"/>
      <c r="F36" s="1432"/>
      <c r="G36" s="1433"/>
      <c r="H36" s="1247"/>
      <c r="I36" s="251"/>
      <c r="J36" s="251"/>
      <c r="K36" s="1244"/>
      <c r="L36" s="1239"/>
      <c r="M36" s="1449"/>
      <c r="N36" s="1450"/>
      <c r="O36" s="1450"/>
      <c r="P36" s="1450"/>
      <c r="Q36" s="1450"/>
      <c r="R36" s="1450"/>
      <c r="S36" s="1451"/>
    </row>
    <row r="37" spans="1:19" ht="15" customHeight="1">
      <c r="A37" s="1456"/>
      <c r="B37" s="1431"/>
      <c r="C37" s="1432"/>
      <c r="D37" s="1432"/>
      <c r="E37" s="1432"/>
      <c r="F37" s="1432"/>
      <c r="G37" s="1433"/>
      <c r="H37" s="1247"/>
      <c r="I37" s="251"/>
      <c r="J37" s="251"/>
      <c r="K37" s="1244"/>
      <c r="L37" s="1239"/>
      <c r="M37" s="1449"/>
      <c r="N37" s="1450"/>
      <c r="O37" s="1450"/>
      <c r="P37" s="1450"/>
      <c r="Q37" s="1450"/>
      <c r="R37" s="1450"/>
      <c r="S37" s="1451"/>
    </row>
    <row r="38" spans="1:19" ht="15" customHeight="1">
      <c r="A38" s="1456"/>
      <c r="B38" s="1431"/>
      <c r="C38" s="1432"/>
      <c r="D38" s="1432"/>
      <c r="E38" s="1432"/>
      <c r="F38" s="1432"/>
      <c r="G38" s="1433"/>
      <c r="H38" s="1247"/>
      <c r="I38" s="251"/>
      <c r="J38" s="251"/>
      <c r="K38" s="1244"/>
      <c r="L38" s="1239"/>
      <c r="M38" s="1449"/>
      <c r="N38" s="1450"/>
      <c r="O38" s="1450"/>
      <c r="P38" s="1450"/>
      <c r="Q38" s="1450"/>
      <c r="R38" s="1450"/>
      <c r="S38" s="1451"/>
    </row>
    <row r="39" spans="1:19" ht="15" customHeight="1">
      <c r="A39" s="1456"/>
      <c r="B39" s="1431"/>
      <c r="C39" s="1432"/>
      <c r="D39" s="1432"/>
      <c r="E39" s="1432"/>
      <c r="F39" s="1432"/>
      <c r="G39" s="1433"/>
      <c r="H39" s="1237"/>
      <c r="I39" s="251"/>
      <c r="J39" s="251"/>
      <c r="K39" s="1244"/>
      <c r="L39" s="1239"/>
      <c r="M39" s="1452"/>
      <c r="N39" s="1453"/>
      <c r="O39" s="1453"/>
      <c r="P39" s="1453"/>
      <c r="Q39" s="1453"/>
      <c r="R39" s="1453"/>
      <c r="S39" s="1454"/>
    </row>
    <row r="40" spans="1:19" ht="15" customHeight="1">
      <c r="A40" s="1456"/>
      <c r="B40" s="1431" t="s">
        <v>54</v>
      </c>
      <c r="C40" s="1432"/>
      <c r="D40" s="1432"/>
      <c r="E40" s="1432"/>
      <c r="F40" s="1432"/>
      <c r="G40" s="1433"/>
      <c r="H40" s="1247" t="s">
        <v>390</v>
      </c>
      <c r="I40" s="251" t="s">
        <v>24</v>
      </c>
      <c r="J40" s="251" t="s">
        <v>24</v>
      </c>
      <c r="K40" s="1244">
        <v>0.04</v>
      </c>
      <c r="L40" s="1239" t="s">
        <v>49</v>
      </c>
      <c r="M40" s="1434" t="s">
        <v>60</v>
      </c>
      <c r="N40" s="1435"/>
      <c r="O40" s="1435"/>
      <c r="P40" s="1436"/>
      <c r="Q40" s="550" t="s">
        <v>395</v>
      </c>
      <c r="R40" s="529">
        <f>SUM(K30:K41)</f>
        <v>3.2003732303732302</v>
      </c>
      <c r="S40" s="385" t="s">
        <v>45</v>
      </c>
    </row>
    <row r="41" spans="1:19" ht="15" customHeight="1">
      <c r="A41" s="1457"/>
      <c r="B41" s="1428" t="s">
        <v>55</v>
      </c>
      <c r="C41" s="1429"/>
      <c r="D41" s="1429"/>
      <c r="E41" s="1429"/>
      <c r="F41" s="1429"/>
      <c r="G41" s="1430"/>
      <c r="H41" s="1248" t="s">
        <v>391</v>
      </c>
      <c r="I41" s="1252" t="s">
        <v>24</v>
      </c>
      <c r="J41" s="1252" t="s">
        <v>24</v>
      </c>
      <c r="K41" s="1245">
        <v>0.13</v>
      </c>
      <c r="L41" s="1240" t="s">
        <v>49</v>
      </c>
      <c r="M41" s="1434" t="s">
        <v>61</v>
      </c>
      <c r="N41" s="1435"/>
      <c r="O41" s="1435"/>
      <c r="P41" s="1436"/>
      <c r="Q41" s="253" t="s">
        <v>396</v>
      </c>
      <c r="R41" s="227">
        <f>1/R40</f>
        <v>0.31246355597199493</v>
      </c>
      <c r="S41" s="386" t="s">
        <v>56</v>
      </c>
    </row>
    <row r="42" spans="1:19" ht="15" customHeight="1">
      <c r="A42"/>
      <c r="B42"/>
      <c r="C42"/>
      <c r="D42"/>
      <c r="E42"/>
      <c r="F42"/>
      <c r="G42"/>
      <c r="H42"/>
      <c r="I42" s="1253">
        <f>SUM(I30:I41)</f>
        <v>0.42000000000000004</v>
      </c>
      <c r="J42"/>
      <c r="K42"/>
      <c r="L42"/>
      <c r="M42"/>
      <c r="N42"/>
      <c r="O42"/>
      <c r="P42"/>
      <c r="Q42"/>
      <c r="R42"/>
      <c r="S42"/>
    </row>
    <row r="43" spans="1:19" ht="15" customHeight="1">
      <c r="A43" s="3"/>
      <c r="G43" s="6"/>
      <c r="H43" s="6"/>
      <c r="I43" s="6"/>
      <c r="J43" s="6"/>
      <c r="K43" s="46"/>
      <c r="L43" s="6"/>
      <c r="M43" s="6"/>
      <c r="N43" s="6"/>
    </row>
    <row r="44" spans="1:19" ht="15" customHeight="1"/>
    <row r="45" spans="1:19" ht="15" customHeight="1"/>
    <row r="46" spans="1:19" ht="15" customHeight="1">
      <c r="A46" s="1472" t="s">
        <v>951</v>
      </c>
      <c r="B46" s="1473"/>
      <c r="C46" s="1473"/>
      <c r="D46" s="1473"/>
      <c r="E46" s="1473"/>
      <c r="F46" s="1473"/>
      <c r="G46" s="1473"/>
      <c r="H46" s="1473"/>
      <c r="I46" s="1473"/>
      <c r="J46" s="1473"/>
      <c r="K46" s="1473"/>
      <c r="L46" s="1474"/>
      <c r="M46" s="1446"/>
      <c r="N46" s="1447"/>
      <c r="O46" s="1447"/>
      <c r="P46" s="1447"/>
      <c r="Q46" s="1447"/>
      <c r="R46" s="1447"/>
      <c r="S46" s="1448"/>
    </row>
    <row r="47" spans="1:19" ht="15" customHeight="1">
      <c r="A47" s="1455" t="s">
        <v>614</v>
      </c>
      <c r="B47" s="1467" t="s">
        <v>393</v>
      </c>
      <c r="C47" s="1468"/>
      <c r="D47" s="1468"/>
      <c r="E47" s="1468"/>
      <c r="F47" s="1468"/>
      <c r="G47" s="1468"/>
      <c r="H47" s="1469"/>
      <c r="I47" s="114" t="s">
        <v>59</v>
      </c>
      <c r="J47" s="99" t="s">
        <v>58</v>
      </c>
      <c r="K47" s="96" t="s">
        <v>57</v>
      </c>
      <c r="L47" s="99" t="s">
        <v>392</v>
      </c>
      <c r="M47" s="1449"/>
      <c r="N47" s="1450"/>
      <c r="O47" s="1450"/>
      <c r="P47" s="1450"/>
      <c r="Q47" s="1450"/>
      <c r="R47" s="1450"/>
      <c r="S47" s="1451"/>
    </row>
    <row r="48" spans="1:19" ht="15" customHeight="1">
      <c r="A48" s="1456"/>
      <c r="B48" s="1440" t="s">
        <v>394</v>
      </c>
      <c r="C48" s="1441"/>
      <c r="D48" s="1441"/>
      <c r="E48" s="1441"/>
      <c r="F48" s="1441"/>
      <c r="G48" s="1441"/>
      <c r="H48" s="1442"/>
      <c r="I48" s="254" t="s">
        <v>41</v>
      </c>
      <c r="J48" s="179" t="s">
        <v>42</v>
      </c>
      <c r="K48" s="173" t="s">
        <v>43</v>
      </c>
      <c r="L48" s="1470" t="s">
        <v>24</v>
      </c>
      <c r="M48" s="1449"/>
      <c r="N48" s="1450"/>
      <c r="O48" s="1450"/>
      <c r="P48" s="1450"/>
      <c r="Q48" s="1450"/>
      <c r="R48" s="1450"/>
      <c r="S48" s="1451"/>
    </row>
    <row r="49" spans="1:19" ht="15" customHeight="1">
      <c r="A49" s="1456"/>
      <c r="B49" s="1443"/>
      <c r="C49" s="1444"/>
      <c r="D49" s="1444"/>
      <c r="E49" s="1444"/>
      <c r="F49" s="1444"/>
      <c r="G49" s="1444"/>
      <c r="H49" s="1445"/>
      <c r="I49" s="186" t="s">
        <v>31</v>
      </c>
      <c r="J49" s="186" t="s">
        <v>44</v>
      </c>
      <c r="K49" s="175" t="s">
        <v>45</v>
      </c>
      <c r="L49" s="1471"/>
      <c r="M49" s="1449"/>
      <c r="N49" s="1450"/>
      <c r="O49" s="1450"/>
      <c r="P49" s="1450"/>
      <c r="Q49" s="1450"/>
      <c r="R49" s="1450"/>
      <c r="S49" s="1451"/>
    </row>
    <row r="50" spans="1:19" ht="15" customHeight="1">
      <c r="A50" s="1456"/>
      <c r="B50" s="1458"/>
      <c r="C50" s="1459"/>
      <c r="D50" s="1459"/>
      <c r="E50" s="1459"/>
      <c r="F50" s="1459"/>
      <c r="G50" s="1460"/>
      <c r="H50" s="158">
        <v>1</v>
      </c>
      <c r="I50" s="248"/>
      <c r="J50" s="153"/>
      <c r="K50" s="138"/>
      <c r="L50" s="105"/>
      <c r="M50" s="1449"/>
      <c r="N50" s="1450"/>
      <c r="O50" s="1450"/>
      <c r="P50" s="1450"/>
      <c r="Q50" s="1450"/>
      <c r="R50" s="1450"/>
      <c r="S50" s="1451"/>
    </row>
    <row r="51" spans="1:19" ht="15" customHeight="1">
      <c r="A51" s="1456"/>
      <c r="B51" s="1431"/>
      <c r="C51" s="1432"/>
      <c r="D51" s="1432"/>
      <c r="E51" s="1432"/>
      <c r="F51" s="1432"/>
      <c r="G51" s="1433"/>
      <c r="H51" s="143">
        <v>2</v>
      </c>
      <c r="I51" s="248"/>
      <c r="J51" s="58"/>
      <c r="K51" s="138"/>
      <c r="L51" s="106"/>
      <c r="M51" s="1449"/>
      <c r="N51" s="1450"/>
      <c r="O51" s="1450"/>
      <c r="P51" s="1450"/>
      <c r="Q51" s="1450"/>
      <c r="R51" s="1450"/>
      <c r="S51" s="1451"/>
    </row>
    <row r="52" spans="1:19" ht="15" customHeight="1">
      <c r="A52" s="1456"/>
      <c r="B52" s="1264"/>
      <c r="C52" s="1265"/>
      <c r="D52" s="1265"/>
      <c r="E52" s="1265"/>
      <c r="F52" s="1265"/>
      <c r="G52" s="1266"/>
      <c r="H52" s="143">
        <v>3</v>
      </c>
      <c r="I52" s="248"/>
      <c r="J52" s="58"/>
      <c r="K52" s="138"/>
      <c r="L52" s="106"/>
      <c r="M52" s="1449"/>
      <c r="N52" s="1450"/>
      <c r="O52" s="1450"/>
      <c r="P52" s="1450"/>
      <c r="Q52" s="1450"/>
      <c r="R52" s="1450"/>
      <c r="S52" s="1451"/>
    </row>
    <row r="53" spans="1:19" ht="15" customHeight="1">
      <c r="A53" s="1456"/>
      <c r="B53" s="1264" t="s">
        <v>54</v>
      </c>
      <c r="C53" s="1265"/>
      <c r="D53" s="1265"/>
      <c r="E53" s="1265"/>
      <c r="F53" s="1265"/>
      <c r="G53" s="1266"/>
      <c r="H53" s="143" t="s">
        <v>390</v>
      </c>
      <c r="I53" s="248" t="s">
        <v>24</v>
      </c>
      <c r="J53" s="58" t="s">
        <v>24</v>
      </c>
      <c r="K53" s="138">
        <v>0.04</v>
      </c>
      <c r="L53" s="106" t="s">
        <v>49</v>
      </c>
      <c r="M53" s="1449"/>
      <c r="N53" s="1450"/>
      <c r="O53" s="1450"/>
      <c r="P53" s="1450"/>
      <c r="Q53" s="1450"/>
      <c r="R53" s="1450"/>
      <c r="S53" s="1451"/>
    </row>
    <row r="54" spans="1:19" ht="15" customHeight="1">
      <c r="A54" s="1456"/>
      <c r="B54" s="1264" t="s">
        <v>55</v>
      </c>
      <c r="C54" s="1265"/>
      <c r="D54" s="1265"/>
      <c r="E54" s="1265"/>
      <c r="F54" s="1265"/>
      <c r="G54" s="1266"/>
      <c r="H54" s="143" t="s">
        <v>391</v>
      </c>
      <c r="I54" s="248" t="s">
        <v>24</v>
      </c>
      <c r="J54" s="58" t="s">
        <v>24</v>
      </c>
      <c r="K54" s="138">
        <v>0.13</v>
      </c>
      <c r="L54" s="106" t="s">
        <v>49</v>
      </c>
      <c r="M54" s="1449"/>
      <c r="N54" s="1450"/>
      <c r="O54" s="1450"/>
      <c r="P54" s="1450"/>
      <c r="Q54" s="1450"/>
      <c r="R54" s="1450"/>
      <c r="S54" s="1451"/>
    </row>
    <row r="55" spans="1:19" ht="15" customHeight="1">
      <c r="A55" s="1456"/>
      <c r="B55" s="1264"/>
      <c r="C55" s="1265"/>
      <c r="D55" s="1265"/>
      <c r="E55" s="1265"/>
      <c r="F55" s="1255"/>
      <c r="G55" s="1266"/>
      <c r="H55" s="143"/>
      <c r="I55" s="248"/>
      <c r="J55" s="58"/>
      <c r="K55" s="138"/>
      <c r="L55" s="106"/>
      <c r="M55" s="1452"/>
      <c r="N55" s="1453"/>
      <c r="O55" s="1453"/>
      <c r="P55" s="1453"/>
      <c r="Q55" s="1453"/>
      <c r="R55" s="1453"/>
      <c r="S55" s="1454"/>
    </row>
    <row r="56" spans="1:19" ht="15" customHeight="1">
      <c r="A56" s="1456"/>
      <c r="B56" s="1270"/>
      <c r="C56" s="1271"/>
      <c r="D56" s="1271"/>
      <c r="E56" s="1271"/>
      <c r="F56" s="1271"/>
      <c r="G56" s="1272"/>
      <c r="H56" s="143"/>
      <c r="I56" s="248"/>
      <c r="J56" s="58"/>
      <c r="K56" s="138"/>
      <c r="L56" s="106"/>
      <c r="M56" s="1461" t="s">
        <v>60</v>
      </c>
      <c r="N56" s="1462"/>
      <c r="O56" s="1462"/>
      <c r="P56" s="1463"/>
      <c r="Q56" s="252" t="s">
        <v>395</v>
      </c>
      <c r="R56" s="232">
        <v>0.71499999999999997</v>
      </c>
      <c r="S56" s="109" t="s">
        <v>45</v>
      </c>
    </row>
    <row r="57" spans="1:19" ht="15" customHeight="1">
      <c r="A57" s="1457"/>
      <c r="B57" s="1267"/>
      <c r="C57" s="1268"/>
      <c r="D57" s="1268"/>
      <c r="E57" s="1268"/>
      <c r="F57" s="1268"/>
      <c r="G57" s="1269"/>
      <c r="H57" s="141"/>
      <c r="I57" s="249"/>
      <c r="J57" s="144"/>
      <c r="K57" s="227"/>
      <c r="L57" s="42"/>
      <c r="M57" s="1461" t="s">
        <v>61</v>
      </c>
      <c r="N57" s="1462"/>
      <c r="O57" s="1462"/>
      <c r="P57" s="1463"/>
      <c r="Q57" s="253" t="s">
        <v>396</v>
      </c>
      <c r="R57" s="455">
        <f>1/R56</f>
        <v>1.3986013986013988</v>
      </c>
      <c r="S57" s="108" t="s">
        <v>56</v>
      </c>
    </row>
    <row r="58" spans="1:19" ht="15" customHeight="1">
      <c r="B58" s="16"/>
      <c r="C58" s="16"/>
      <c r="D58" s="16"/>
      <c r="E58" s="16"/>
      <c r="F58" s="16"/>
      <c r="G58" s="44"/>
      <c r="H58" s="16"/>
      <c r="I58" s="16"/>
      <c r="J58" s="16"/>
      <c r="K58" s="18"/>
      <c r="L58" s="16"/>
      <c r="M58" s="16"/>
      <c r="N58" s="16"/>
    </row>
    <row r="59" spans="1:19" ht="15" customHeight="1">
      <c r="B59" s="16"/>
      <c r="C59" s="16"/>
      <c r="D59" s="16"/>
      <c r="E59" s="16"/>
      <c r="F59" s="16"/>
      <c r="G59" s="44"/>
      <c r="H59" s="16"/>
      <c r="I59" s="16"/>
      <c r="J59" s="16"/>
      <c r="K59" s="18"/>
      <c r="L59" s="16"/>
      <c r="M59" s="16"/>
      <c r="N59" s="16"/>
    </row>
    <row r="60" spans="1:19" ht="15" customHeight="1">
      <c r="B60" s="16"/>
      <c r="C60" s="16"/>
      <c r="D60" s="16"/>
      <c r="E60" s="16"/>
      <c r="F60" s="16"/>
      <c r="G60" s="14"/>
      <c r="H60" s="14"/>
      <c r="I60" s="14"/>
      <c r="J60" s="14"/>
      <c r="K60" s="17"/>
      <c r="L60" s="17"/>
      <c r="M60" s="14"/>
      <c r="N60" s="14"/>
    </row>
    <row r="61" spans="1:19" ht="15" customHeight="1">
      <c r="B61" s="16"/>
      <c r="C61" s="16"/>
      <c r="D61" s="16"/>
      <c r="E61" s="16"/>
      <c r="F61" s="16"/>
      <c r="G61" s="14"/>
      <c r="H61" s="14"/>
      <c r="I61" s="14"/>
      <c r="J61" s="14"/>
      <c r="K61" s="17"/>
      <c r="L61" s="17"/>
      <c r="M61" s="14"/>
      <c r="N61" s="14"/>
    </row>
    <row r="62" spans="1:19" ht="15" customHeight="1">
      <c r="A62" s="1425" t="s">
        <v>952</v>
      </c>
      <c r="B62" s="1426"/>
      <c r="C62" s="1426"/>
      <c r="D62" s="1426"/>
      <c r="E62" s="1426"/>
      <c r="F62" s="1426"/>
      <c r="G62" s="1426"/>
      <c r="H62" s="1426"/>
      <c r="I62" s="1426"/>
      <c r="J62" s="1426"/>
      <c r="K62" s="1426"/>
      <c r="L62" s="1427"/>
      <c r="M62" s="1446"/>
      <c r="N62" s="1447"/>
      <c r="O62" s="1447"/>
      <c r="P62" s="1447"/>
      <c r="Q62" s="1447"/>
      <c r="R62" s="1447"/>
      <c r="S62" s="1448"/>
    </row>
    <row r="63" spans="1:19" ht="15" customHeight="1">
      <c r="A63" s="1455" t="s">
        <v>935</v>
      </c>
      <c r="B63" s="1464" t="s">
        <v>393</v>
      </c>
      <c r="C63" s="1465"/>
      <c r="D63" s="1465"/>
      <c r="E63" s="1465"/>
      <c r="F63" s="1465"/>
      <c r="G63" s="1465"/>
      <c r="H63" s="1466"/>
      <c r="I63" s="787" t="s">
        <v>59</v>
      </c>
      <c r="J63" s="819" t="s">
        <v>58</v>
      </c>
      <c r="K63" s="1250" t="s">
        <v>57</v>
      </c>
      <c r="L63" s="819" t="s">
        <v>392</v>
      </c>
      <c r="M63" s="1449"/>
      <c r="N63" s="1450"/>
      <c r="O63" s="1450"/>
      <c r="P63" s="1450"/>
      <c r="Q63" s="1450"/>
      <c r="R63" s="1450"/>
      <c r="S63" s="1451"/>
    </row>
    <row r="64" spans="1:19" ht="15" customHeight="1">
      <c r="A64" s="1456"/>
      <c r="B64" s="1440" t="s">
        <v>394</v>
      </c>
      <c r="C64" s="1441"/>
      <c r="D64" s="1441"/>
      <c r="E64" s="1441"/>
      <c r="F64" s="1441"/>
      <c r="G64" s="1441"/>
      <c r="H64" s="1442"/>
      <c r="I64" s="1251" t="s">
        <v>41</v>
      </c>
      <c r="J64" s="179" t="s">
        <v>42</v>
      </c>
      <c r="K64" s="173" t="s">
        <v>43</v>
      </c>
      <c r="L64" s="1241" t="s">
        <v>24</v>
      </c>
      <c r="M64" s="1449"/>
      <c r="N64" s="1450"/>
      <c r="O64" s="1450"/>
      <c r="P64" s="1450"/>
      <c r="Q64" s="1450"/>
      <c r="R64" s="1450"/>
      <c r="S64" s="1451"/>
    </row>
    <row r="65" spans="1:20" ht="15" customHeight="1">
      <c r="A65" s="1456"/>
      <c r="B65" s="1443"/>
      <c r="C65" s="1444"/>
      <c r="D65" s="1444"/>
      <c r="E65" s="1444"/>
      <c r="F65" s="1444"/>
      <c r="G65" s="1444"/>
      <c r="H65" s="1445"/>
      <c r="I65" s="1249" t="s">
        <v>31</v>
      </c>
      <c r="J65" s="1249" t="s">
        <v>44</v>
      </c>
      <c r="K65" s="175" t="s">
        <v>45</v>
      </c>
      <c r="L65" s="1242"/>
      <c r="M65" s="1449"/>
      <c r="N65" s="1450"/>
      <c r="O65" s="1450"/>
      <c r="P65" s="1450"/>
      <c r="Q65" s="1450"/>
      <c r="R65" s="1450"/>
      <c r="S65" s="1451"/>
    </row>
    <row r="66" spans="1:20" ht="15" customHeight="1">
      <c r="A66" s="1456"/>
      <c r="B66" s="1458" t="s">
        <v>944</v>
      </c>
      <c r="C66" s="1459"/>
      <c r="D66" s="1459"/>
      <c r="E66" s="1459"/>
      <c r="F66" s="1459"/>
      <c r="G66" s="1460"/>
      <c r="H66" s="1247">
        <v>1</v>
      </c>
      <c r="I66" s="250">
        <v>0.03</v>
      </c>
      <c r="J66" s="250">
        <v>1</v>
      </c>
      <c r="K66" s="1244">
        <f>I66/J66</f>
        <v>0.03</v>
      </c>
      <c r="L66" s="1238" t="s">
        <v>53</v>
      </c>
      <c r="M66" s="1449"/>
      <c r="N66" s="1450"/>
      <c r="O66" s="1450"/>
      <c r="P66" s="1450"/>
      <c r="Q66" s="1450"/>
      <c r="R66" s="1450"/>
      <c r="S66" s="1451"/>
    </row>
    <row r="67" spans="1:20" ht="15" customHeight="1">
      <c r="A67" s="1456"/>
      <c r="B67" s="1431" t="s">
        <v>946</v>
      </c>
      <c r="C67" s="1432"/>
      <c r="D67" s="1432"/>
      <c r="E67" s="1432"/>
      <c r="F67" s="1432"/>
      <c r="G67" s="1433"/>
      <c r="H67" s="1247">
        <v>2</v>
      </c>
      <c r="I67" s="251">
        <v>0.12</v>
      </c>
      <c r="J67" s="251">
        <v>1.48</v>
      </c>
      <c r="K67" s="1244">
        <f>I67/J67</f>
        <v>8.1081081081081086E-2</v>
      </c>
      <c r="L67" s="1239" t="s">
        <v>53</v>
      </c>
      <c r="M67" s="1449"/>
      <c r="N67" s="1450"/>
      <c r="O67" s="1450"/>
      <c r="P67" s="1450"/>
      <c r="Q67" s="1450"/>
      <c r="R67" s="1450"/>
      <c r="S67" s="1451"/>
    </row>
    <row r="68" spans="1:20" ht="15" customHeight="1">
      <c r="A68" s="1456"/>
      <c r="B68" s="1431" t="s">
        <v>945</v>
      </c>
      <c r="C68" s="1432"/>
      <c r="D68" s="1432"/>
      <c r="E68" s="1432"/>
      <c r="F68" s="1432"/>
      <c r="G68" s="1433"/>
      <c r="H68" s="1247">
        <v>3</v>
      </c>
      <c r="I68" s="251">
        <v>2E-3</v>
      </c>
      <c r="J68" s="251">
        <v>52</v>
      </c>
      <c r="K68" s="1244">
        <f t="shared" ref="K68:K70" si="2">I68/J68</f>
        <v>3.8461538461538463E-5</v>
      </c>
      <c r="L68" s="1239" t="s">
        <v>53</v>
      </c>
      <c r="M68" s="1449"/>
      <c r="N68" s="1450"/>
      <c r="O68" s="1450"/>
      <c r="P68" s="1450"/>
      <c r="Q68" s="1450"/>
      <c r="R68" s="1450"/>
      <c r="S68" s="1451"/>
    </row>
    <row r="69" spans="1:20" ht="15" customHeight="1">
      <c r="A69" s="1456"/>
      <c r="B69" s="1431" t="s">
        <v>947</v>
      </c>
      <c r="C69" s="1432"/>
      <c r="D69" s="1432"/>
      <c r="E69" s="1432"/>
      <c r="F69" s="1432"/>
      <c r="G69" s="1433"/>
      <c r="H69" s="1247">
        <v>4</v>
      </c>
      <c r="I69" s="251">
        <v>0.115</v>
      </c>
      <c r="J69" s="251">
        <v>4.3999999999999997E-2</v>
      </c>
      <c r="K69" s="1244">
        <f t="shared" si="2"/>
        <v>2.6136363636363638</v>
      </c>
      <c r="L69" s="1239" t="s">
        <v>53</v>
      </c>
      <c r="M69" s="1449"/>
      <c r="N69" s="1450"/>
      <c r="O69" s="1450"/>
      <c r="P69" s="1450"/>
      <c r="Q69" s="1450"/>
      <c r="R69" s="1450"/>
      <c r="S69" s="1451"/>
    </row>
    <row r="70" spans="1:20" ht="15" customHeight="1">
      <c r="A70" s="1456"/>
      <c r="B70" s="1431" t="s">
        <v>939</v>
      </c>
      <c r="C70" s="1432"/>
      <c r="D70" s="1432"/>
      <c r="E70" s="1432"/>
      <c r="F70" s="1432"/>
      <c r="G70" s="1433"/>
      <c r="H70" s="1247">
        <v>5</v>
      </c>
      <c r="I70" s="251">
        <v>1.2500000000000001E-2</v>
      </c>
      <c r="J70" s="251">
        <v>0.21</v>
      </c>
      <c r="K70" s="1244">
        <f t="shared" si="2"/>
        <v>5.9523809523809527E-2</v>
      </c>
      <c r="L70" s="1239" t="s">
        <v>53</v>
      </c>
      <c r="M70" s="1449"/>
      <c r="N70" s="1450"/>
      <c r="O70" s="1450"/>
      <c r="P70" s="1450"/>
      <c r="Q70" s="1450"/>
      <c r="R70" s="1450"/>
      <c r="S70" s="1451"/>
    </row>
    <row r="71" spans="1:20" ht="15" customHeight="1">
      <c r="A71" s="1456"/>
      <c r="B71" s="1431"/>
      <c r="C71" s="1432"/>
      <c r="D71" s="1432"/>
      <c r="E71" s="1432"/>
      <c r="F71" s="1432"/>
      <c r="G71" s="1433"/>
      <c r="H71" s="1247"/>
      <c r="I71" s="251"/>
      <c r="J71" s="251"/>
      <c r="K71" s="1244"/>
      <c r="L71" s="1239"/>
      <c r="M71" s="1449"/>
      <c r="N71" s="1450"/>
      <c r="O71" s="1450"/>
      <c r="P71" s="1450"/>
      <c r="Q71" s="1450"/>
      <c r="R71" s="1450"/>
      <c r="S71" s="1451"/>
    </row>
    <row r="72" spans="1:20" ht="15" customHeight="1">
      <c r="A72" s="1456"/>
      <c r="B72" s="1431"/>
      <c r="C72" s="1432"/>
      <c r="D72" s="1432"/>
      <c r="E72" s="1432"/>
      <c r="F72" s="1432"/>
      <c r="G72" s="1433"/>
      <c r="H72" s="1247"/>
      <c r="I72" s="251"/>
      <c r="J72" s="251"/>
      <c r="K72" s="1244"/>
      <c r="L72" s="1239"/>
      <c r="M72" s="1449"/>
      <c r="N72" s="1450"/>
      <c r="O72" s="1450"/>
      <c r="P72" s="1450"/>
      <c r="Q72" s="1450"/>
      <c r="R72" s="1450"/>
      <c r="S72" s="1451"/>
    </row>
    <row r="73" spans="1:20" ht="15" customHeight="1">
      <c r="A73" s="1456"/>
      <c r="B73" s="1431"/>
      <c r="C73" s="1432"/>
      <c r="D73" s="1432"/>
      <c r="E73" s="1432"/>
      <c r="F73" s="1432"/>
      <c r="G73" s="1433"/>
      <c r="H73" s="1247"/>
      <c r="I73" s="251"/>
      <c r="J73" s="251"/>
      <c r="K73" s="1244"/>
      <c r="L73" s="1239"/>
      <c r="M73" s="1449"/>
      <c r="N73" s="1450"/>
      <c r="O73" s="1450"/>
      <c r="P73" s="1450"/>
      <c r="Q73" s="1450"/>
      <c r="R73" s="1450"/>
      <c r="S73" s="1451"/>
    </row>
    <row r="74" spans="1:20" ht="15" customHeight="1">
      <c r="A74" s="1456"/>
      <c r="B74" s="1431"/>
      <c r="C74" s="1432"/>
      <c r="D74" s="1432"/>
      <c r="E74" s="1432"/>
      <c r="F74" s="1432"/>
      <c r="G74" s="1433"/>
      <c r="H74" s="1247"/>
      <c r="I74" s="251"/>
      <c r="J74" s="251"/>
      <c r="K74" s="1244"/>
      <c r="L74" s="1239"/>
      <c r="M74" s="1449"/>
      <c r="N74" s="1450"/>
      <c r="O74" s="1450"/>
      <c r="P74" s="1450"/>
      <c r="Q74" s="1450"/>
      <c r="R74" s="1450"/>
      <c r="S74" s="1451"/>
    </row>
    <row r="75" spans="1:20" ht="15" customHeight="1">
      <c r="A75" s="1456"/>
      <c r="B75" s="1431"/>
      <c r="C75" s="1432"/>
      <c r="D75" s="1432"/>
      <c r="E75" s="1432"/>
      <c r="F75" s="1432"/>
      <c r="G75" s="1433"/>
      <c r="H75" s="1237"/>
      <c r="I75" s="251"/>
      <c r="J75" s="251"/>
      <c r="K75" s="1244"/>
      <c r="L75" s="1239"/>
      <c r="M75" s="1452"/>
      <c r="N75" s="1453"/>
      <c r="O75" s="1453"/>
      <c r="P75" s="1453"/>
      <c r="Q75" s="1453"/>
      <c r="R75" s="1453"/>
      <c r="S75" s="1454"/>
    </row>
    <row r="76" spans="1:20" ht="15" customHeight="1">
      <c r="A76" s="1456"/>
      <c r="B76" s="1431" t="s">
        <v>54</v>
      </c>
      <c r="C76" s="1432"/>
      <c r="D76" s="1432"/>
      <c r="E76" s="1432"/>
      <c r="F76" s="1432"/>
      <c r="G76" s="1433"/>
      <c r="H76" s="1247" t="s">
        <v>390</v>
      </c>
      <c r="I76" s="251" t="s">
        <v>24</v>
      </c>
      <c r="J76" s="251" t="s">
        <v>24</v>
      </c>
      <c r="K76" s="1244">
        <v>0.04</v>
      </c>
      <c r="L76" s="1239" t="s">
        <v>49</v>
      </c>
      <c r="M76" s="1256" t="s">
        <v>60</v>
      </c>
      <c r="N76" s="1263"/>
      <c r="O76" s="1263"/>
      <c r="P76" s="1257"/>
      <c r="Q76" s="550" t="s">
        <v>395</v>
      </c>
      <c r="R76" s="529">
        <f>SUM(K66:K77)</f>
        <v>2.9542797157797156</v>
      </c>
      <c r="S76" s="385" t="s">
        <v>45</v>
      </c>
      <c r="T76" s="19" t="s">
        <v>615</v>
      </c>
    </row>
    <row r="77" spans="1:20" ht="15" customHeight="1">
      <c r="A77" s="1457"/>
      <c r="B77" s="1428" t="s">
        <v>55</v>
      </c>
      <c r="C77" s="1429"/>
      <c r="D77" s="1429"/>
      <c r="E77" s="1429"/>
      <c r="F77" s="1429"/>
      <c r="G77" s="1430"/>
      <c r="H77" s="1248" t="s">
        <v>391</v>
      </c>
      <c r="I77" s="1252" t="s">
        <v>24</v>
      </c>
      <c r="J77" s="1252" t="s">
        <v>24</v>
      </c>
      <c r="K77" s="1245">
        <v>0.13</v>
      </c>
      <c r="L77" s="1240" t="s">
        <v>49</v>
      </c>
      <c r="M77" s="1434" t="s">
        <v>61</v>
      </c>
      <c r="N77" s="1435"/>
      <c r="O77" s="1435"/>
      <c r="P77" s="1436"/>
      <c r="Q77" s="253" t="s">
        <v>396</v>
      </c>
      <c r="R77" s="227">
        <f>1/R76</f>
        <v>0.33849198322646729</v>
      </c>
      <c r="S77" s="386" t="s">
        <v>56</v>
      </c>
    </row>
    <row r="78" spans="1:20" ht="15" customHeight="1">
      <c r="A78"/>
      <c r="B78"/>
      <c r="C78"/>
      <c r="D78"/>
      <c r="E78"/>
      <c r="F78"/>
      <c r="G78"/>
      <c r="H78"/>
      <c r="I78" s="1253">
        <f>SUM(I66:I77)</f>
        <v>0.27950000000000003</v>
      </c>
      <c r="J78"/>
      <c r="K78"/>
      <c r="L78"/>
      <c r="M78"/>
      <c r="N78"/>
      <c r="O78"/>
      <c r="P78"/>
      <c r="Q78"/>
      <c r="R78"/>
      <c r="S78"/>
    </row>
    <row r="79" spans="1:20" ht="15" customHeight="1">
      <c r="H79" s="39"/>
      <c r="I79" s="3"/>
      <c r="J79" s="3"/>
      <c r="K79" s="26"/>
      <c r="L79" s="3"/>
      <c r="M79" s="3"/>
      <c r="N79" s="3"/>
      <c r="O79" s="3"/>
      <c r="P79" s="38"/>
      <c r="Q79" s="38"/>
      <c r="R79" s="38"/>
      <c r="S79" s="38"/>
    </row>
    <row r="80" spans="1:20" ht="15" customHeight="1">
      <c r="H80" s="39"/>
      <c r="I80" s="3"/>
      <c r="J80" s="3"/>
      <c r="K80" s="26"/>
      <c r="L80" s="3"/>
      <c r="M80" s="3"/>
      <c r="N80" s="3"/>
      <c r="O80" s="3"/>
      <c r="P80" s="38"/>
      <c r="Q80" s="38"/>
      <c r="R80" s="38"/>
      <c r="S80" s="38"/>
    </row>
    <row r="81" spans="1:41" ht="15" customHeight="1">
      <c r="A81" s="1425" t="s">
        <v>949</v>
      </c>
      <c r="B81" s="1426"/>
      <c r="C81" s="1426"/>
      <c r="D81" s="1426"/>
      <c r="E81" s="1426"/>
      <c r="F81" s="1426"/>
      <c r="G81" s="1426"/>
      <c r="H81" s="1426"/>
      <c r="I81" s="1426"/>
      <c r="J81" s="1426"/>
      <c r="K81" s="1426"/>
      <c r="L81" s="1427"/>
      <c r="M81" s="1446"/>
      <c r="N81" s="1447"/>
      <c r="O81" s="1447"/>
      <c r="P81" s="1447"/>
      <c r="Q81" s="1447"/>
      <c r="R81" s="1447"/>
      <c r="S81" s="1448"/>
    </row>
    <row r="82" spans="1:41" ht="15" customHeight="1">
      <c r="A82" s="1455" t="s">
        <v>935</v>
      </c>
      <c r="B82" s="1437" t="s">
        <v>393</v>
      </c>
      <c r="C82" s="1438"/>
      <c r="D82" s="1438"/>
      <c r="E82" s="1438"/>
      <c r="F82" s="1438"/>
      <c r="G82" s="1438"/>
      <c r="H82" s="1439"/>
      <c r="I82" s="787" t="s">
        <v>59</v>
      </c>
      <c r="J82" s="819" t="s">
        <v>58</v>
      </c>
      <c r="K82" s="1250" t="s">
        <v>57</v>
      </c>
      <c r="L82" s="819" t="s">
        <v>392</v>
      </c>
      <c r="M82" s="1449"/>
      <c r="N82" s="1450"/>
      <c r="O82" s="1450"/>
      <c r="P82" s="1450"/>
      <c r="Q82" s="1450"/>
      <c r="R82" s="1450"/>
      <c r="S82" s="1451"/>
    </row>
    <row r="83" spans="1:41" ht="15" customHeight="1">
      <c r="A83" s="1456"/>
      <c r="B83" s="1440" t="s">
        <v>394</v>
      </c>
      <c r="C83" s="1441"/>
      <c r="D83" s="1441"/>
      <c r="E83" s="1441"/>
      <c r="F83" s="1441"/>
      <c r="G83" s="1441"/>
      <c r="H83" s="1442"/>
      <c r="I83" s="1251" t="s">
        <v>41</v>
      </c>
      <c r="J83" s="179" t="s">
        <v>42</v>
      </c>
      <c r="K83" s="173" t="s">
        <v>43</v>
      </c>
      <c r="L83" s="1241" t="s">
        <v>24</v>
      </c>
      <c r="M83" s="1449"/>
      <c r="N83" s="1450"/>
      <c r="O83" s="1450"/>
      <c r="P83" s="1450"/>
      <c r="Q83" s="1450"/>
      <c r="R83" s="1450"/>
      <c r="S83" s="1451"/>
    </row>
    <row r="84" spans="1:41" ht="15" customHeight="1">
      <c r="A84" s="1456"/>
      <c r="B84" s="1443"/>
      <c r="C84" s="1444"/>
      <c r="D84" s="1444"/>
      <c r="E84" s="1444"/>
      <c r="F84" s="1444"/>
      <c r="G84" s="1444"/>
      <c r="H84" s="1445"/>
      <c r="I84" s="1249" t="s">
        <v>31</v>
      </c>
      <c r="J84" s="1249" t="s">
        <v>44</v>
      </c>
      <c r="K84" s="175" t="s">
        <v>45</v>
      </c>
      <c r="L84" s="1242"/>
      <c r="M84" s="1449"/>
      <c r="N84" s="1450"/>
      <c r="O84" s="1450"/>
      <c r="P84" s="1450"/>
      <c r="Q84" s="1450"/>
      <c r="R84" s="1450"/>
      <c r="S84" s="1451"/>
    </row>
    <row r="85" spans="1:41" ht="15" customHeight="1">
      <c r="A85" s="1456"/>
      <c r="B85" s="1431" t="s">
        <v>950</v>
      </c>
      <c r="C85" s="1432"/>
      <c r="D85" s="1432"/>
      <c r="E85" s="1432"/>
      <c r="F85" s="1432"/>
      <c r="G85" s="1433"/>
      <c r="H85" s="1247">
        <v>1</v>
      </c>
      <c r="I85" s="250">
        <v>0.03</v>
      </c>
      <c r="J85" s="250">
        <v>1</v>
      </c>
      <c r="K85" s="1244">
        <f>I85/J85</f>
        <v>0.03</v>
      </c>
      <c r="L85" s="1238" t="s">
        <v>53</v>
      </c>
      <c r="M85" s="1449"/>
      <c r="N85" s="1450"/>
      <c r="O85" s="1450"/>
      <c r="P85" s="1450"/>
      <c r="Q85" s="1450"/>
      <c r="R85" s="1450"/>
      <c r="S85" s="1451"/>
    </row>
    <row r="86" spans="1:41" ht="15" customHeight="1">
      <c r="A86" s="1456"/>
      <c r="B86" s="1431" t="s">
        <v>933</v>
      </c>
      <c r="C86" s="1432"/>
      <c r="D86" s="1432"/>
      <c r="E86" s="1432"/>
      <c r="F86" s="1432"/>
      <c r="G86" s="1433"/>
      <c r="H86" s="1247">
        <v>2</v>
      </c>
      <c r="I86" s="251">
        <v>0.09</v>
      </c>
      <c r="J86" s="251">
        <f>I86/K86</f>
        <v>0.5</v>
      </c>
      <c r="K86" s="1244">
        <v>0.18</v>
      </c>
      <c r="L86" s="1239" t="s">
        <v>943</v>
      </c>
      <c r="M86" s="1449"/>
      <c r="N86" s="1450"/>
      <c r="O86" s="1450"/>
      <c r="P86" s="1450"/>
      <c r="Q86" s="1450"/>
      <c r="R86" s="1450"/>
      <c r="S86" s="1451"/>
    </row>
    <row r="87" spans="1:41" ht="15" customHeight="1">
      <c r="A87" s="1456"/>
      <c r="B87" s="1431" t="s">
        <v>938</v>
      </c>
      <c r="C87" s="1432"/>
      <c r="D87" s="1432"/>
      <c r="E87" s="1432"/>
      <c r="F87" s="1432"/>
      <c r="G87" s="1433"/>
      <c r="H87" s="1247">
        <v>3</v>
      </c>
      <c r="I87" s="251">
        <v>0.05</v>
      </c>
      <c r="J87" s="251">
        <v>4.2999999999999997E-2</v>
      </c>
      <c r="K87" s="1244">
        <f t="shared" ref="K87" si="3">I87/J87</f>
        <v>1.1627906976744187</v>
      </c>
      <c r="L87" s="1239" t="s">
        <v>53</v>
      </c>
      <c r="M87" s="1449"/>
      <c r="N87" s="1450"/>
      <c r="O87" s="1450"/>
      <c r="P87" s="1450"/>
      <c r="Q87" s="1450"/>
      <c r="R87" s="1450"/>
      <c r="S87" s="1451"/>
      <c r="AI87" s="9"/>
      <c r="AJ87" s="9"/>
      <c r="AK87" s="137"/>
      <c r="AL87" s="248"/>
      <c r="AM87" s="138"/>
      <c r="AN87" s="138"/>
      <c r="AO87" s="30"/>
    </row>
    <row r="88" spans="1:41" ht="15" customHeight="1">
      <c r="A88" s="1456"/>
      <c r="B88" s="1431" t="s">
        <v>946</v>
      </c>
      <c r="C88" s="1432"/>
      <c r="D88" s="1432"/>
      <c r="E88" s="1432"/>
      <c r="F88" s="1432"/>
      <c r="G88" s="1433"/>
      <c r="H88" s="1247">
        <v>4</v>
      </c>
      <c r="I88" s="251">
        <v>0.12</v>
      </c>
      <c r="J88" s="251">
        <v>1.48</v>
      </c>
      <c r="K88" s="1244">
        <f>I88/J88</f>
        <v>8.1081081081081086E-2</v>
      </c>
      <c r="L88" s="1239" t="s">
        <v>53</v>
      </c>
      <c r="M88" s="1449"/>
      <c r="N88" s="1450"/>
      <c r="O88" s="1450"/>
      <c r="P88" s="1450"/>
      <c r="Q88" s="1450"/>
      <c r="R88" s="1450"/>
      <c r="S88" s="1451"/>
    </row>
    <row r="89" spans="1:41" ht="15" customHeight="1">
      <c r="A89" s="1456"/>
      <c r="B89" s="1431" t="s">
        <v>945</v>
      </c>
      <c r="C89" s="1432"/>
      <c r="D89" s="1432"/>
      <c r="E89" s="1432"/>
      <c r="F89" s="1432"/>
      <c r="G89" s="1433"/>
      <c r="H89" s="1247">
        <v>5</v>
      </c>
      <c r="I89" s="251">
        <v>2E-3</v>
      </c>
      <c r="J89" s="251">
        <v>52</v>
      </c>
      <c r="K89" s="1244">
        <f t="shared" ref="K89:K91" si="4">I89/J89</f>
        <v>3.8461538461538463E-5</v>
      </c>
      <c r="L89" s="1239" t="s">
        <v>53</v>
      </c>
      <c r="M89" s="1449"/>
      <c r="N89" s="1450"/>
      <c r="O89" s="1450"/>
      <c r="P89" s="1450"/>
      <c r="Q89" s="1450"/>
      <c r="R89" s="1450"/>
      <c r="S89" s="1451"/>
    </row>
    <row r="90" spans="1:41" ht="15" customHeight="1">
      <c r="A90" s="1456"/>
      <c r="B90" s="1431" t="s">
        <v>947</v>
      </c>
      <c r="C90" s="1432"/>
      <c r="D90" s="1432"/>
      <c r="E90" s="1432"/>
      <c r="F90" s="1432"/>
      <c r="G90" s="1433"/>
      <c r="H90" s="1247">
        <v>6</v>
      </c>
      <c r="I90" s="251">
        <v>0.115</v>
      </c>
      <c r="J90" s="251">
        <v>4.3999999999999997E-2</v>
      </c>
      <c r="K90" s="1244">
        <f t="shared" si="4"/>
        <v>2.6136363636363638</v>
      </c>
      <c r="L90" s="1239" t="s">
        <v>53</v>
      </c>
      <c r="M90" s="1449"/>
      <c r="N90" s="1450"/>
      <c r="O90" s="1450"/>
      <c r="P90" s="1450"/>
      <c r="Q90" s="1450"/>
      <c r="R90" s="1450"/>
      <c r="S90" s="1451"/>
    </row>
    <row r="91" spans="1:41" ht="15" customHeight="1">
      <c r="A91" s="1456"/>
      <c r="B91" s="1431" t="s">
        <v>939</v>
      </c>
      <c r="C91" s="1432"/>
      <c r="D91" s="1432"/>
      <c r="E91" s="1432"/>
      <c r="F91" s="1432"/>
      <c r="G91" s="1433"/>
      <c r="H91" s="1247">
        <v>7</v>
      </c>
      <c r="I91" s="251">
        <v>1.2500000000000001E-2</v>
      </c>
      <c r="J91" s="251">
        <v>0.21</v>
      </c>
      <c r="K91" s="1244">
        <f t="shared" si="4"/>
        <v>5.9523809523809527E-2</v>
      </c>
      <c r="L91" s="1239" t="s">
        <v>53</v>
      </c>
      <c r="M91" s="1449"/>
      <c r="N91" s="1450"/>
      <c r="O91" s="1450"/>
      <c r="P91" s="1450"/>
      <c r="Q91" s="1450"/>
      <c r="R91" s="1450"/>
      <c r="S91" s="1451"/>
    </row>
    <row r="92" spans="1:41" ht="15" customHeight="1">
      <c r="A92" s="1456"/>
      <c r="B92" s="1431"/>
      <c r="C92" s="1432"/>
      <c r="D92" s="1432"/>
      <c r="E92" s="1432"/>
      <c r="F92" s="1432"/>
      <c r="G92" s="1433"/>
      <c r="H92" s="1247"/>
      <c r="I92" s="251"/>
      <c r="J92" s="251"/>
      <c r="K92" s="1244"/>
      <c r="L92" s="1239"/>
      <c r="M92" s="1449"/>
      <c r="N92" s="1450"/>
      <c r="O92" s="1450"/>
      <c r="P92" s="1450"/>
      <c r="Q92" s="1450"/>
      <c r="R92" s="1450"/>
      <c r="S92" s="1451"/>
    </row>
    <row r="93" spans="1:41" ht="15" customHeight="1">
      <c r="A93" s="1456"/>
      <c r="B93" s="1431"/>
      <c r="C93" s="1432"/>
      <c r="D93" s="1432"/>
      <c r="E93" s="1432"/>
      <c r="F93" s="1432"/>
      <c r="G93" s="1433"/>
      <c r="H93" s="1247"/>
      <c r="I93" s="251"/>
      <c r="J93" s="251"/>
      <c r="K93" s="1244"/>
      <c r="L93" s="1239"/>
      <c r="M93" s="1449"/>
      <c r="N93" s="1450"/>
      <c r="O93" s="1450"/>
      <c r="P93" s="1450"/>
      <c r="Q93" s="1450"/>
      <c r="R93" s="1450"/>
      <c r="S93" s="1451"/>
    </row>
    <row r="94" spans="1:41" ht="15" customHeight="1">
      <c r="A94" s="1456"/>
      <c r="B94" s="1431"/>
      <c r="C94" s="1432"/>
      <c r="D94" s="1432"/>
      <c r="E94" s="1432"/>
      <c r="F94" s="1432"/>
      <c r="G94" s="1433"/>
      <c r="H94" s="1237"/>
      <c r="I94" s="251"/>
      <c r="J94" s="251"/>
      <c r="K94" s="1244"/>
      <c r="L94" s="1239"/>
      <c r="M94" s="1452"/>
      <c r="N94" s="1453"/>
      <c r="O94" s="1453"/>
      <c r="P94" s="1453"/>
      <c r="Q94" s="1453"/>
      <c r="R94" s="1453"/>
      <c r="S94" s="1454"/>
    </row>
    <row r="95" spans="1:41" ht="15" customHeight="1">
      <c r="A95" s="1456"/>
      <c r="B95" s="1431" t="s">
        <v>54</v>
      </c>
      <c r="C95" s="1432"/>
      <c r="D95" s="1432"/>
      <c r="E95" s="1432"/>
      <c r="F95" s="1432"/>
      <c r="G95" s="1433"/>
      <c r="H95" s="1247" t="s">
        <v>390</v>
      </c>
      <c r="I95" s="251" t="s">
        <v>24</v>
      </c>
      <c r="J95" s="251" t="s">
        <v>24</v>
      </c>
      <c r="K95" s="1244">
        <v>0.04</v>
      </c>
      <c r="L95" s="1239" t="s">
        <v>49</v>
      </c>
      <c r="M95" s="1434" t="s">
        <v>60</v>
      </c>
      <c r="N95" s="1435"/>
      <c r="O95" s="1435"/>
      <c r="P95" s="1436"/>
      <c r="Q95" s="550" t="s">
        <v>395</v>
      </c>
      <c r="R95" s="529">
        <f>SUM(K85:K96)</f>
        <v>4.2970704134541338</v>
      </c>
      <c r="S95" s="385" t="s">
        <v>45</v>
      </c>
      <c r="T95" s="19" t="s">
        <v>615</v>
      </c>
    </row>
    <row r="96" spans="1:41" ht="15" customHeight="1">
      <c r="A96" s="1457"/>
      <c r="B96" s="1428" t="s">
        <v>55</v>
      </c>
      <c r="C96" s="1429"/>
      <c r="D96" s="1429"/>
      <c r="E96" s="1429"/>
      <c r="F96" s="1429"/>
      <c r="G96" s="1430"/>
      <c r="H96" s="1248" t="s">
        <v>391</v>
      </c>
      <c r="I96" s="1252" t="s">
        <v>24</v>
      </c>
      <c r="J96" s="1252" t="s">
        <v>24</v>
      </c>
      <c r="K96" s="1245">
        <v>0.13</v>
      </c>
      <c r="L96" s="1240" t="s">
        <v>49</v>
      </c>
      <c r="M96" s="1434" t="s">
        <v>61</v>
      </c>
      <c r="N96" s="1435"/>
      <c r="O96" s="1435"/>
      <c r="P96" s="1436"/>
      <c r="Q96" s="253" t="s">
        <v>396</v>
      </c>
      <c r="R96" s="227">
        <f>1/R95</f>
        <v>0.2327166892283167</v>
      </c>
      <c r="S96" s="386" t="s">
        <v>56</v>
      </c>
    </row>
    <row r="97" spans="1:19" ht="15" customHeight="1">
      <c r="A97"/>
      <c r="B97"/>
      <c r="C97"/>
      <c r="D97"/>
      <c r="E97"/>
      <c r="F97"/>
      <c r="G97"/>
      <c r="H97"/>
      <c r="I97" s="1253">
        <f>SUM(I85:I96)</f>
        <v>0.41949999999999998</v>
      </c>
      <c r="J97"/>
      <c r="K97"/>
      <c r="L97"/>
      <c r="M97"/>
      <c r="N97"/>
      <c r="O97"/>
      <c r="P97"/>
      <c r="Q97"/>
      <c r="R97"/>
      <c r="S97"/>
    </row>
    <row r="98" spans="1:19">
      <c r="C98"/>
      <c r="K98"/>
    </row>
    <row r="99" spans="1:19">
      <c r="C99"/>
      <c r="K99"/>
    </row>
    <row r="100" spans="1:19">
      <c r="C100"/>
      <c r="K100"/>
    </row>
    <row r="101" spans="1:19">
      <c r="C101"/>
      <c r="K101"/>
    </row>
    <row r="102" spans="1:19">
      <c r="C102"/>
      <c r="K102"/>
    </row>
    <row r="103" spans="1:19">
      <c r="C103"/>
      <c r="D103"/>
      <c r="E103"/>
      <c r="F103"/>
      <c r="G103"/>
      <c r="H103"/>
      <c r="I103"/>
      <c r="J103"/>
      <c r="K103"/>
    </row>
    <row r="104" spans="1:19">
      <c r="C104"/>
      <c r="D104"/>
      <c r="E104"/>
      <c r="F104"/>
      <c r="G104"/>
      <c r="H104"/>
      <c r="I104"/>
      <c r="J104"/>
      <c r="K104"/>
    </row>
    <row r="105" spans="1:19">
      <c r="C105"/>
      <c r="D105"/>
      <c r="E105"/>
      <c r="F105"/>
      <c r="G105"/>
      <c r="H105"/>
      <c r="I105"/>
      <c r="J105"/>
      <c r="K105"/>
    </row>
  </sheetData>
  <mergeCells count="116">
    <mergeCell ref="A6:L6"/>
    <mergeCell ref="AK20:AN20"/>
    <mergeCell ref="AK21:AN21"/>
    <mergeCell ref="AK6:AQ19"/>
    <mergeCell ref="Z7:AF7"/>
    <mergeCell ref="Z21:AE21"/>
    <mergeCell ref="Z19:AE19"/>
    <mergeCell ref="Z20:AE20"/>
    <mergeCell ref="Y7:Y21"/>
    <mergeCell ref="Y6:AJ6"/>
    <mergeCell ref="Z8:AF9"/>
    <mergeCell ref="Z10:AE10"/>
    <mergeCell ref="Z11:AE11"/>
    <mergeCell ref="Z12:AE12"/>
    <mergeCell ref="Z13:AE13"/>
    <mergeCell ref="Z14:AE14"/>
    <mergeCell ref="Z15:AE15"/>
    <mergeCell ref="Z16:AE16"/>
    <mergeCell ref="Z17:AE17"/>
    <mergeCell ref="Z18:AE18"/>
    <mergeCell ref="B1:I1"/>
    <mergeCell ref="J1:J3"/>
    <mergeCell ref="K1:O1"/>
    <mergeCell ref="P1:Q1"/>
    <mergeCell ref="R1:S1"/>
    <mergeCell ref="B2:I3"/>
    <mergeCell ref="K2:O2"/>
    <mergeCell ref="P2:Q2"/>
    <mergeCell ref="R2:S2"/>
    <mergeCell ref="K3:O3"/>
    <mergeCell ref="P3:Q3"/>
    <mergeCell ref="R3:S3"/>
    <mergeCell ref="B13:G13"/>
    <mergeCell ref="B47:H47"/>
    <mergeCell ref="B51:G51"/>
    <mergeCell ref="B50:G50"/>
    <mergeCell ref="L48:L49"/>
    <mergeCell ref="B48:H49"/>
    <mergeCell ref="A46:L46"/>
    <mergeCell ref="M81:S94"/>
    <mergeCell ref="A82:A96"/>
    <mergeCell ref="B19:G19"/>
    <mergeCell ref="B20:G20"/>
    <mergeCell ref="M20:P20"/>
    <mergeCell ref="B40:G40"/>
    <mergeCell ref="M6:S19"/>
    <mergeCell ref="A7:A21"/>
    <mergeCell ref="B7:H7"/>
    <mergeCell ref="B8:H9"/>
    <mergeCell ref="B69:G69"/>
    <mergeCell ref="M46:S55"/>
    <mergeCell ref="M56:P56"/>
    <mergeCell ref="M57:P57"/>
    <mergeCell ref="A62:L62"/>
    <mergeCell ref="M62:S75"/>
    <mergeCell ref="A63:A77"/>
    <mergeCell ref="B63:H63"/>
    <mergeCell ref="B64:H65"/>
    <mergeCell ref="B66:G66"/>
    <mergeCell ref="B67:G67"/>
    <mergeCell ref="B68:G68"/>
    <mergeCell ref="B71:G71"/>
    <mergeCell ref="B70:G70"/>
    <mergeCell ref="A47:A57"/>
    <mergeCell ref="B34:G34"/>
    <mergeCell ref="B10:G10"/>
    <mergeCell ref="B11:G11"/>
    <mergeCell ref="B12:G12"/>
    <mergeCell ref="B94:G94"/>
    <mergeCell ref="B14:G14"/>
    <mergeCell ref="B15:G15"/>
    <mergeCell ref="B16:G16"/>
    <mergeCell ref="B17:G17"/>
    <mergeCell ref="B18:G18"/>
    <mergeCell ref="B21:G21"/>
    <mergeCell ref="M21:P21"/>
    <mergeCell ref="A26:L26"/>
    <mergeCell ref="M26:S39"/>
    <mergeCell ref="A27:A41"/>
    <mergeCell ref="B27:H27"/>
    <mergeCell ref="B28:H29"/>
    <mergeCell ref="B30:G30"/>
    <mergeCell ref="B31:G31"/>
    <mergeCell ref="B32:G32"/>
    <mergeCell ref="B33:G33"/>
    <mergeCell ref="M40:P40"/>
    <mergeCell ref="M41:P41"/>
    <mergeCell ref="B35:G35"/>
    <mergeCell ref="B36:G36"/>
    <mergeCell ref="B37:G37"/>
    <mergeCell ref="B38:G38"/>
    <mergeCell ref="B39:G39"/>
    <mergeCell ref="A81:L81"/>
    <mergeCell ref="B41:G41"/>
    <mergeCell ref="B75:G75"/>
    <mergeCell ref="B74:G74"/>
    <mergeCell ref="B73:G73"/>
    <mergeCell ref="B72:G72"/>
    <mergeCell ref="M95:P95"/>
    <mergeCell ref="M96:P96"/>
    <mergeCell ref="B89:G89"/>
    <mergeCell ref="B90:G90"/>
    <mergeCell ref="B82:H82"/>
    <mergeCell ref="B83:H84"/>
    <mergeCell ref="B85:G85"/>
    <mergeCell ref="B86:G86"/>
    <mergeCell ref="B87:G87"/>
    <mergeCell ref="B88:G88"/>
    <mergeCell ref="M77:P77"/>
    <mergeCell ref="B77:G77"/>
    <mergeCell ref="B76:G76"/>
    <mergeCell ref="B91:G91"/>
    <mergeCell ref="B92:G92"/>
    <mergeCell ref="B93:G93"/>
    <mergeCell ref="B95:G95"/>
    <mergeCell ref="B96:G96"/>
  </mergeCells>
  <printOptions horizontalCentered="1"/>
  <pageMargins left="0.39370078740157483" right="0.39370078740157483" top="0.39370078740157483" bottom="0.39370078740157483" header="0.11811023622047245" footer="0.11811023622047245"/>
  <pageSetup paperSize="9" scale="72" orientation="landscape" horizontalDpi="300" verticalDpi="300"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X524"/>
  <sheetViews>
    <sheetView zoomScale="80" zoomScaleNormal="80" zoomScalePageLayoutView="190" workbookViewId="0">
      <selection activeCell="K35" sqref="K35"/>
    </sheetView>
  </sheetViews>
  <sheetFormatPr baseColWidth="10" defaultColWidth="8.83203125" defaultRowHeight="15"/>
  <cols>
    <col min="1" max="4" width="12.6640625" style="20" customWidth="1"/>
    <col min="5" max="6" width="12.6640625" style="51" customWidth="1"/>
    <col min="7" max="7" width="12.6640625" style="20" customWidth="1"/>
    <col min="8" max="11" width="12.6640625" style="51" customWidth="1"/>
    <col min="12" max="15" width="12.6640625" style="20" customWidth="1"/>
    <col min="18" max="18" width="11.5" customWidth="1"/>
    <col min="19" max="19" width="9.1640625" customWidth="1"/>
  </cols>
  <sheetData>
    <row r="1" spans="1:16">
      <c r="A1" s="150" t="s">
        <v>0</v>
      </c>
      <c r="B1" s="1402" t="s">
        <v>566</v>
      </c>
      <c r="C1" s="1403"/>
      <c r="D1" s="1403"/>
      <c r="E1" s="1404"/>
      <c r="F1" s="1508"/>
      <c r="G1" s="1402" t="s">
        <v>567</v>
      </c>
      <c r="H1" s="1403"/>
      <c r="I1" s="1403"/>
      <c r="J1" s="1403"/>
      <c r="K1" s="1404"/>
      <c r="L1" s="1352" t="s">
        <v>5</v>
      </c>
      <c r="M1" s="1353"/>
      <c r="N1" s="1352" t="s">
        <v>6</v>
      </c>
      <c r="O1" s="1353"/>
    </row>
    <row r="2" spans="1:16" ht="23.25" customHeight="1">
      <c r="A2" s="47">
        <v>3</v>
      </c>
      <c r="B2" s="1511" t="s">
        <v>132</v>
      </c>
      <c r="C2" s="1512"/>
      <c r="D2" s="1512"/>
      <c r="E2" s="1513"/>
      <c r="F2" s="1509"/>
      <c r="G2" s="1414" t="s">
        <v>568</v>
      </c>
      <c r="H2" s="1415"/>
      <c r="I2" s="1415"/>
      <c r="J2" s="1415"/>
      <c r="K2" s="1416"/>
      <c r="L2" s="1391" t="str">
        <f>'1.Dati'!L2:M2</f>
        <v>Prof. R. RICCIU</v>
      </c>
      <c r="M2" s="1392"/>
      <c r="N2" s="1391" t="str">
        <f>'2.Stratigrafie'!R2</f>
        <v>X</v>
      </c>
      <c r="O2" s="1392"/>
    </row>
    <row r="3" spans="1:16" ht="15" customHeight="1">
      <c r="A3" s="48" t="s">
        <v>62</v>
      </c>
      <c r="B3" s="1514"/>
      <c r="C3" s="1515"/>
      <c r="D3" s="1515"/>
      <c r="E3" s="1516"/>
      <c r="F3" s="1510"/>
      <c r="G3" s="1354" t="str">
        <f>'1.Dati'!G3:K3</f>
        <v>LAB. INTEGR. DI PROG. TECN. (TERMOFISICA DELL'EDIFICIO) a.a. 2019/2020</v>
      </c>
      <c r="H3" s="1355"/>
      <c r="I3" s="1355"/>
      <c r="J3" s="1355"/>
      <c r="K3" s="1356"/>
      <c r="L3" s="1357" t="s">
        <v>1028</v>
      </c>
      <c r="M3" s="1358"/>
      <c r="N3" s="1352" t="str">
        <f>'2.Stratigrafie'!R3</f>
        <v>Y</v>
      </c>
      <c r="O3" s="1353"/>
    </row>
    <row r="4" spans="1:16" ht="15" customHeight="1">
      <c r="A4" s="33"/>
      <c r="B4" s="299"/>
      <c r="C4" s="299"/>
      <c r="D4" s="299"/>
      <c r="E4" s="299"/>
      <c r="F4" s="53"/>
      <c r="G4" s="381"/>
      <c r="H4" s="381"/>
      <c r="I4" s="381"/>
      <c r="J4" s="381"/>
      <c r="K4" s="381"/>
      <c r="L4" s="37"/>
      <c r="M4" s="37"/>
      <c r="N4" s="37"/>
      <c r="O4" s="37"/>
    </row>
    <row r="5" spans="1:16" ht="15" customHeight="1">
      <c r="A5" s="1517" t="s">
        <v>85</v>
      </c>
      <c r="B5" s="1534"/>
      <c r="C5" s="384" t="s">
        <v>25</v>
      </c>
      <c r="D5" s="819" t="s">
        <v>77</v>
      </c>
      <c r="E5" s="786" t="s">
        <v>78</v>
      </c>
      <c r="F5" s="787"/>
      <c r="G5" s="817" t="s">
        <v>79</v>
      </c>
      <c r="H5" s="787" t="s">
        <v>26</v>
      </c>
      <c r="I5" s="786" t="s">
        <v>80</v>
      </c>
      <c r="J5" s="792"/>
      <c r="K5" s="381"/>
      <c r="L5" s="37"/>
      <c r="M5" s="37"/>
      <c r="N5" s="37"/>
      <c r="O5" s="37"/>
    </row>
    <row r="6" spans="1:16" ht="15" customHeight="1">
      <c r="A6" s="1535" t="s">
        <v>86</v>
      </c>
      <c r="B6" s="1536"/>
      <c r="C6" s="1531" t="s">
        <v>24</v>
      </c>
      <c r="D6" s="790" t="s">
        <v>24</v>
      </c>
      <c r="E6" s="779" t="s">
        <v>24</v>
      </c>
      <c r="F6" s="788"/>
      <c r="G6" s="803" t="s">
        <v>81</v>
      </c>
      <c r="H6" s="802" t="s">
        <v>82</v>
      </c>
      <c r="I6" s="173" t="s">
        <v>130</v>
      </c>
      <c r="J6" s="173" t="s">
        <v>129</v>
      </c>
      <c r="K6" s="381"/>
      <c r="L6" s="37"/>
      <c r="M6" s="37"/>
      <c r="N6" s="37"/>
      <c r="O6" s="37"/>
    </row>
    <row r="7" spans="1:16" ht="15" customHeight="1">
      <c r="A7" s="1535"/>
      <c r="B7" s="1536"/>
      <c r="C7" s="1532"/>
      <c r="D7" s="791"/>
      <c r="E7" s="780"/>
      <c r="F7" s="789"/>
      <c r="G7" s="814" t="s">
        <v>56</v>
      </c>
      <c r="H7" s="805" t="s">
        <v>32</v>
      </c>
      <c r="I7" s="174" t="s">
        <v>75</v>
      </c>
      <c r="J7" s="175" t="s">
        <v>75</v>
      </c>
      <c r="M7" s="381"/>
      <c r="N7" s="37"/>
      <c r="O7" s="37"/>
      <c r="P7" s="37"/>
    </row>
    <row r="8" spans="1:16" ht="15" customHeight="1">
      <c r="A8" s="1376" t="s">
        <v>34</v>
      </c>
      <c r="B8" s="1375" t="s">
        <v>809</v>
      </c>
      <c r="C8" s="770" t="s">
        <v>9</v>
      </c>
      <c r="D8" s="765" t="s">
        <v>593</v>
      </c>
      <c r="E8" s="456" t="s">
        <v>83</v>
      </c>
      <c r="F8" s="418"/>
      <c r="G8" s="783">
        <f>'2.Stratigrafie'!$R$21</f>
        <v>0.15117690925050431</v>
      </c>
      <c r="H8" s="793">
        <f>'1.Dati'!E66</f>
        <v>8.91</v>
      </c>
      <c r="I8" s="528">
        <f>ROUND(G8*H8,2)</f>
        <v>1.35</v>
      </c>
      <c r="J8" s="783">
        <f>SUM(I8:I10)</f>
        <v>7.25</v>
      </c>
    </row>
    <row r="9" spans="1:16" ht="15" customHeight="1">
      <c r="A9" s="1376"/>
      <c r="B9" s="1375"/>
      <c r="C9" s="771"/>
      <c r="D9" s="766" t="s">
        <v>813</v>
      </c>
      <c r="E9" s="458" t="s">
        <v>83</v>
      </c>
      <c r="F9" s="420"/>
      <c r="G9" s="218">
        <f>'2.Stratigrafie'!$R$21</f>
        <v>0.15117690925050431</v>
      </c>
      <c r="H9" s="816">
        <f>'1.Dati'!E67</f>
        <v>5.8049999999999997</v>
      </c>
      <c r="I9" s="138">
        <f t="shared" ref="I9:I59" si="0">ROUND(G9*H9,2)</f>
        <v>0.88</v>
      </c>
      <c r="J9" s="784"/>
    </row>
    <row r="10" spans="1:16" ht="15" customHeight="1">
      <c r="A10" s="1376"/>
      <c r="B10" s="1375"/>
      <c r="C10" s="772"/>
      <c r="D10" s="768" t="s">
        <v>816</v>
      </c>
      <c r="E10" s="458" t="s">
        <v>633</v>
      </c>
      <c r="F10" s="420"/>
      <c r="G10" s="218">
        <f>'2.Stratigrafie'!R77</f>
        <v>0.33849198322646729</v>
      </c>
      <c r="H10" s="794">
        <f>'1.Dati'!E68</f>
        <v>14.82</v>
      </c>
      <c r="I10" s="138">
        <f>ROUND(G10*H10,2)</f>
        <v>5.0199999999999996</v>
      </c>
      <c r="J10" s="784"/>
    </row>
    <row r="11" spans="1:16" ht="15" customHeight="1">
      <c r="A11" s="1376"/>
      <c r="B11" s="1375"/>
      <c r="C11" s="771" t="s">
        <v>804</v>
      </c>
      <c r="D11" s="766" t="s">
        <v>814</v>
      </c>
      <c r="E11" s="456" t="s">
        <v>83</v>
      </c>
      <c r="F11" s="418"/>
      <c r="G11" s="783">
        <f>'2.Stratigrafie'!$R$21</f>
        <v>0.15117690925050431</v>
      </c>
      <c r="H11" s="816">
        <f>'1.Dati'!E69</f>
        <v>13.716000000000001</v>
      </c>
      <c r="I11" s="799">
        <f>ROUND(G11*H11,2)</f>
        <v>2.0699999999999998</v>
      </c>
      <c r="J11" s="783">
        <f>SUM(I11:I15)</f>
        <v>22.96</v>
      </c>
    </row>
    <row r="12" spans="1:16" ht="15" customHeight="1">
      <c r="A12" s="1376"/>
      <c r="B12" s="1375"/>
      <c r="C12" s="771"/>
      <c r="D12" s="766" t="s">
        <v>590</v>
      </c>
      <c r="E12" s="458" t="s">
        <v>83</v>
      </c>
      <c r="F12" s="420"/>
      <c r="G12" s="218">
        <f>'2.Stratigrafie'!$R$21</f>
        <v>0.15117690925050431</v>
      </c>
      <c r="H12" s="816">
        <f>'1.Dati'!E70</f>
        <v>10.692</v>
      </c>
      <c r="I12" s="800">
        <f t="shared" si="0"/>
        <v>1.62</v>
      </c>
      <c r="J12" s="784"/>
    </row>
    <row r="13" spans="1:16" ht="15" customHeight="1">
      <c r="A13" s="1376"/>
      <c r="B13" s="1375"/>
      <c r="C13" s="771"/>
      <c r="D13" s="766" t="s">
        <v>815</v>
      </c>
      <c r="E13" s="458" t="s">
        <v>633</v>
      </c>
      <c r="F13" s="420"/>
      <c r="G13" s="218">
        <f>'2.Stratigrafie'!R77</f>
        <v>0.33849198322646729</v>
      </c>
      <c r="H13" s="816">
        <f>'1.Dati'!E71</f>
        <v>37.56</v>
      </c>
      <c r="I13" s="800">
        <f t="shared" si="0"/>
        <v>12.71</v>
      </c>
      <c r="J13" s="784"/>
    </row>
    <row r="14" spans="1:16" ht="15" customHeight="1">
      <c r="A14" s="1376"/>
      <c r="B14" s="1375"/>
      <c r="C14" s="776"/>
      <c r="D14" s="766" t="s">
        <v>818</v>
      </c>
      <c r="E14" s="836" t="s">
        <v>856</v>
      </c>
      <c r="F14" s="420"/>
      <c r="G14" s="218">
        <f>'2.Stratigrafie'!R41</f>
        <v>0.31246355597199493</v>
      </c>
      <c r="H14" s="816">
        <f>'1.Dati'!E72</f>
        <v>11.151</v>
      </c>
      <c r="I14" s="800">
        <f t="shared" si="0"/>
        <v>3.48</v>
      </c>
      <c r="J14" s="784"/>
    </row>
    <row r="15" spans="1:16" ht="15" customHeight="1">
      <c r="A15" s="1376"/>
      <c r="B15" s="1375"/>
      <c r="C15" s="775"/>
      <c r="D15" s="768" t="s">
        <v>819</v>
      </c>
      <c r="E15" s="458" t="s">
        <v>632</v>
      </c>
      <c r="F15" s="835"/>
      <c r="G15" s="218">
        <f>'2.Stratigrafie'!R57</f>
        <v>1.3986013986013988</v>
      </c>
      <c r="H15" s="794">
        <f>'1.Dati'!E73</f>
        <v>2.2000000000000002</v>
      </c>
      <c r="I15" s="801">
        <f t="shared" si="0"/>
        <v>3.08</v>
      </c>
      <c r="J15" s="785"/>
    </row>
    <row r="16" spans="1:16" ht="15" customHeight="1">
      <c r="A16" s="1376"/>
      <c r="B16" s="1375"/>
      <c r="C16" s="774" t="s">
        <v>22</v>
      </c>
      <c r="D16" s="765" t="s">
        <v>821</v>
      </c>
      <c r="E16" s="837" t="s">
        <v>856</v>
      </c>
      <c r="F16" s="418"/>
      <c r="G16" s="783">
        <f>'2.Stratigrafie'!R41</f>
        <v>0.31246355597199493</v>
      </c>
      <c r="H16" s="816">
        <f>'1.Dati'!E74</f>
        <v>1.62</v>
      </c>
      <c r="I16" s="799">
        <f t="shared" si="0"/>
        <v>0.51</v>
      </c>
      <c r="J16" s="783">
        <f>SUM(I16:I17)</f>
        <v>2.1100000000000003</v>
      </c>
    </row>
    <row r="17" spans="1:10" ht="15" customHeight="1">
      <c r="A17" s="1376"/>
      <c r="B17" s="1375"/>
      <c r="C17" s="775"/>
      <c r="D17" s="768" t="s">
        <v>822</v>
      </c>
      <c r="E17" s="459" t="s">
        <v>633</v>
      </c>
      <c r="F17" s="421"/>
      <c r="G17" s="785">
        <f>'2.Stratigrafie'!R77</f>
        <v>0.33849198322646729</v>
      </c>
      <c r="H17" s="794">
        <f>'1.Dati'!E75</f>
        <v>4.734</v>
      </c>
      <c r="I17" s="801">
        <f t="shared" si="0"/>
        <v>1.6</v>
      </c>
      <c r="J17" s="785"/>
    </row>
    <row r="18" spans="1:10" ht="15" customHeight="1">
      <c r="A18" s="1376"/>
      <c r="B18" s="1375"/>
      <c r="C18" s="774" t="s">
        <v>803</v>
      </c>
      <c r="D18" s="765" t="s">
        <v>827</v>
      </c>
      <c r="E18" s="836" t="s">
        <v>856</v>
      </c>
      <c r="F18" s="420"/>
      <c r="G18" s="218">
        <f>'2.Stratigrafie'!R41</f>
        <v>0.31246355597199493</v>
      </c>
      <c r="H18" s="816">
        <f>'1.Dati'!E76</f>
        <v>4.0500000000000007</v>
      </c>
      <c r="I18" s="799">
        <f t="shared" si="0"/>
        <v>1.27</v>
      </c>
      <c r="J18" s="783">
        <f>SUM(I18:I20)</f>
        <v>3.1599999999999997</v>
      </c>
    </row>
    <row r="19" spans="1:10" ht="15" customHeight="1">
      <c r="A19" s="1376"/>
      <c r="B19" s="1375"/>
      <c r="C19" s="776"/>
      <c r="D19" s="766" t="s">
        <v>823</v>
      </c>
      <c r="E19" s="836" t="s">
        <v>856</v>
      </c>
      <c r="F19" s="420"/>
      <c r="G19" s="218">
        <f>'2.Stratigrafie'!R41</f>
        <v>0.31246355597199493</v>
      </c>
      <c r="H19" s="816">
        <f>'1.Dati'!E77</f>
        <v>4.5090000000000003</v>
      </c>
      <c r="I19" s="800">
        <f>ROUND(G20*H19,2)</f>
        <v>1.53</v>
      </c>
      <c r="J19" s="784"/>
    </row>
    <row r="20" spans="1:10" ht="15" customHeight="1">
      <c r="A20" s="1376"/>
      <c r="B20" s="1375"/>
      <c r="C20" s="775"/>
      <c r="D20" s="768" t="s">
        <v>824</v>
      </c>
      <c r="E20" s="458" t="s">
        <v>633</v>
      </c>
      <c r="F20" s="420"/>
      <c r="G20" s="218">
        <f>'2.Stratigrafie'!R77</f>
        <v>0.33849198322646729</v>
      </c>
      <c r="H20" s="794">
        <f>'1.Dati'!E78</f>
        <v>2.38</v>
      </c>
      <c r="I20" s="800">
        <f>ROUND(G21*H20,2)</f>
        <v>0.36</v>
      </c>
      <c r="J20" s="785"/>
    </row>
    <row r="21" spans="1:10" ht="15" customHeight="1">
      <c r="A21" s="1376"/>
      <c r="B21" s="1375"/>
      <c r="C21" s="774" t="s">
        <v>802</v>
      </c>
      <c r="D21" s="765" t="s">
        <v>591</v>
      </c>
      <c r="E21" s="456" t="s">
        <v>83</v>
      </c>
      <c r="F21" s="418"/>
      <c r="G21" s="808">
        <f>'2.Stratigrafie'!$R$21</f>
        <v>0.15117690925050431</v>
      </c>
      <c r="H21" s="816">
        <f>'1.Dati'!E79</f>
        <v>9.4500000000000011</v>
      </c>
      <c r="I21" s="799">
        <f t="shared" si="0"/>
        <v>1.43</v>
      </c>
      <c r="J21" s="783">
        <f>SUM(I21:I22)</f>
        <v>6.6999999999999993</v>
      </c>
    </row>
    <row r="22" spans="1:10" ht="15" customHeight="1">
      <c r="A22" s="1376"/>
      <c r="B22" s="1375"/>
      <c r="C22" s="775"/>
      <c r="D22" s="768" t="s">
        <v>825</v>
      </c>
      <c r="E22" s="458" t="s">
        <v>633</v>
      </c>
      <c r="F22" s="420"/>
      <c r="G22" s="218">
        <f>'2.Stratigrafie'!R77</f>
        <v>0.33849198322646729</v>
      </c>
      <c r="H22" s="794">
        <f>'1.Dati'!E80</f>
        <v>15.575000000000001</v>
      </c>
      <c r="I22" s="801">
        <f t="shared" si="0"/>
        <v>5.27</v>
      </c>
      <c r="J22" s="785"/>
    </row>
    <row r="23" spans="1:10" ht="15" customHeight="1">
      <c r="A23" s="1376"/>
      <c r="B23" s="1375"/>
      <c r="C23" s="774" t="s">
        <v>587</v>
      </c>
      <c r="D23" s="765" t="s">
        <v>592</v>
      </c>
      <c r="E23" s="456" t="s">
        <v>83</v>
      </c>
      <c r="F23" s="418"/>
      <c r="G23" s="808">
        <f>'2.Stratigrafie'!$R$21</f>
        <v>0.15117690925050431</v>
      </c>
      <c r="H23" s="816">
        <f>'1.Dati'!E81</f>
        <v>5.4</v>
      </c>
      <c r="I23" s="799">
        <f t="shared" si="0"/>
        <v>0.82</v>
      </c>
      <c r="J23" s="783">
        <f>SUM(I23:I24)</f>
        <v>2.69</v>
      </c>
    </row>
    <row r="24" spans="1:10" ht="15" customHeight="1">
      <c r="A24" s="1376"/>
      <c r="B24" s="1375"/>
      <c r="C24" s="775"/>
      <c r="D24" s="768" t="s">
        <v>834</v>
      </c>
      <c r="E24" s="458" t="s">
        <v>633</v>
      </c>
      <c r="F24" s="420"/>
      <c r="G24" s="218">
        <f>'2.Stratigrafie'!R77</f>
        <v>0.33849198322646729</v>
      </c>
      <c r="H24" s="794">
        <f>'1.Dati'!E82</f>
        <v>5.52</v>
      </c>
      <c r="I24" s="801">
        <f t="shared" si="0"/>
        <v>1.87</v>
      </c>
      <c r="J24" s="785"/>
    </row>
    <row r="25" spans="1:10" ht="15" customHeight="1">
      <c r="A25" s="1376"/>
      <c r="B25" s="1375"/>
      <c r="C25" s="774" t="s">
        <v>20</v>
      </c>
      <c r="D25" s="765" t="s">
        <v>595</v>
      </c>
      <c r="E25" s="456" t="s">
        <v>83</v>
      </c>
      <c r="F25" s="418"/>
      <c r="G25" s="783">
        <f>'2.Stratigrafie'!$R$21</f>
        <v>0.15117690925050431</v>
      </c>
      <c r="H25" s="816">
        <f>'1.Dati'!E83</f>
        <v>9.5850000000000009</v>
      </c>
      <c r="I25" s="799">
        <f>ROUND(G25*H25,2)</f>
        <v>1.45</v>
      </c>
      <c r="J25" s="783">
        <f>SUM(I25:I27)</f>
        <v>7.57</v>
      </c>
    </row>
    <row r="26" spans="1:10" ht="15" customHeight="1">
      <c r="A26" s="1376"/>
      <c r="B26" s="1375"/>
      <c r="C26" s="777"/>
      <c r="D26" s="766" t="s">
        <v>589</v>
      </c>
      <c r="E26" s="458" t="s">
        <v>83</v>
      </c>
      <c r="F26" s="420"/>
      <c r="G26" s="218">
        <f>'2.Stratigrafie'!$R$21</f>
        <v>0.15117690925050431</v>
      </c>
      <c r="H26" s="816">
        <f>'1.Dati'!E84</f>
        <v>9.9360000000000017</v>
      </c>
      <c r="I26" s="800">
        <f t="shared" si="0"/>
        <v>1.5</v>
      </c>
      <c r="J26" s="784"/>
    </row>
    <row r="27" spans="1:10" ht="15" customHeight="1">
      <c r="A27" s="1376"/>
      <c r="B27" s="1375"/>
      <c r="C27" s="778"/>
      <c r="D27" s="768" t="s">
        <v>621</v>
      </c>
      <c r="E27" s="458" t="s">
        <v>633</v>
      </c>
      <c r="F27" s="420"/>
      <c r="G27" s="218">
        <f>'2.Stratigrafie'!R77</f>
        <v>0.33849198322646729</v>
      </c>
      <c r="H27" s="794">
        <f>'1.Dati'!E85</f>
        <v>13.64</v>
      </c>
      <c r="I27" s="801">
        <f t="shared" si="0"/>
        <v>4.62</v>
      </c>
      <c r="J27" s="785"/>
    </row>
    <row r="28" spans="1:10" ht="15" customHeight="1">
      <c r="A28" s="1376"/>
      <c r="B28" s="1375"/>
      <c r="C28" s="774" t="s">
        <v>586</v>
      </c>
      <c r="D28" s="766" t="s">
        <v>594</v>
      </c>
      <c r="E28" s="456" t="s">
        <v>83</v>
      </c>
      <c r="F28" s="418"/>
      <c r="G28" s="808">
        <f>'2.Stratigrafie'!$R$21</f>
        <v>0.15117690925050431</v>
      </c>
      <c r="H28" s="816">
        <f>'1.Dati'!E86</f>
        <v>7.7220000000000004</v>
      </c>
      <c r="I28" s="800">
        <f t="shared" si="0"/>
        <v>1.17</v>
      </c>
      <c r="J28" s="784">
        <f>SUM(I28:I29)</f>
        <v>3.19</v>
      </c>
    </row>
    <row r="29" spans="1:10" ht="16" customHeight="1">
      <c r="A29" s="1376"/>
      <c r="B29" s="1375"/>
      <c r="C29" s="778"/>
      <c r="D29" s="768" t="s">
        <v>826</v>
      </c>
      <c r="E29" s="458" t="s">
        <v>633</v>
      </c>
      <c r="F29" s="420"/>
      <c r="G29" s="218">
        <f>'2.Stratigrafie'!R77</f>
        <v>0.33849198322646729</v>
      </c>
      <c r="H29" s="794">
        <f>'1.Dati'!E87</f>
        <v>5.9773999999999994</v>
      </c>
      <c r="I29" s="800">
        <f t="shared" si="0"/>
        <v>2.02</v>
      </c>
      <c r="J29" s="785"/>
    </row>
    <row r="30" spans="1:10" ht="16">
      <c r="A30" s="1376"/>
      <c r="B30" s="1375"/>
      <c r="C30" s="774" t="s">
        <v>19</v>
      </c>
      <c r="D30" s="765" t="s">
        <v>599</v>
      </c>
      <c r="E30" s="456" t="s">
        <v>83</v>
      </c>
      <c r="F30" s="418"/>
      <c r="G30" s="808">
        <f>'2.Stratigrafie'!$R$21</f>
        <v>0.15117690925050431</v>
      </c>
      <c r="H30" s="479">
        <f>'1.Dati'!E88</f>
        <v>8.6669999999999998</v>
      </c>
      <c r="I30" s="1277">
        <f t="shared" si="0"/>
        <v>1.31</v>
      </c>
      <c r="J30" s="799">
        <f>SUM(I30:I32)</f>
        <v>11.59</v>
      </c>
    </row>
    <row r="31" spans="1:10" ht="16">
      <c r="A31" s="1376"/>
      <c r="B31" s="1375"/>
      <c r="C31" s="777"/>
      <c r="D31" s="766" t="s">
        <v>828</v>
      </c>
      <c r="E31" s="836" t="s">
        <v>856</v>
      </c>
      <c r="F31" s="420"/>
      <c r="G31" s="218">
        <f>'2.Stratigrafie'!R41</f>
        <v>0.31246355597199493</v>
      </c>
      <c r="H31" s="479">
        <f>'1.Dati'!E89</f>
        <v>11.07</v>
      </c>
      <c r="I31" s="1278">
        <f t="shared" si="0"/>
        <v>3.46</v>
      </c>
      <c r="J31" s="800"/>
    </row>
    <row r="32" spans="1:10" ht="16">
      <c r="A32" s="1376"/>
      <c r="B32" s="1375"/>
      <c r="C32" s="778"/>
      <c r="D32" s="768" t="s">
        <v>620</v>
      </c>
      <c r="E32" s="458" t="s">
        <v>633</v>
      </c>
      <c r="F32" s="420"/>
      <c r="G32" s="218">
        <f>'2.Stratigrafie'!R77</f>
        <v>0.33849198322646729</v>
      </c>
      <c r="H32" s="480">
        <f>'1.Dati'!E90</f>
        <v>20.149999999999999</v>
      </c>
      <c r="I32" s="1279">
        <f t="shared" si="0"/>
        <v>6.82</v>
      </c>
      <c r="J32" s="801"/>
    </row>
    <row r="33" spans="1:15" ht="16">
      <c r="A33" s="1376"/>
      <c r="B33" s="1375"/>
      <c r="C33" s="870" t="s">
        <v>588</v>
      </c>
      <c r="D33" s="896" t="s">
        <v>874</v>
      </c>
      <c r="E33" s="837" t="s">
        <v>856</v>
      </c>
      <c r="F33" s="418"/>
      <c r="G33" s="899">
        <f>'2.Stratigrafie'!R41</f>
        <v>0.31246355597199493</v>
      </c>
      <c r="H33" s="478">
        <f>'1.Dati'!E91</f>
        <v>2.9700000000000006</v>
      </c>
      <c r="I33" s="899">
        <f t="shared" si="0"/>
        <v>0.93</v>
      </c>
      <c r="J33" s="800">
        <f>SUM(I33:I34)</f>
        <v>4.3499999999999996</v>
      </c>
      <c r="L33" s="560"/>
      <c r="M33" s="560"/>
      <c r="N33" s="560"/>
      <c r="O33" s="560"/>
    </row>
    <row r="34" spans="1:15" ht="16">
      <c r="A34" s="1376"/>
      <c r="B34" s="1375"/>
      <c r="C34" s="870"/>
      <c r="D34" s="896" t="s">
        <v>870</v>
      </c>
      <c r="E34" s="459" t="s">
        <v>876</v>
      </c>
      <c r="F34" s="421"/>
      <c r="G34" s="901">
        <f>'2.Stratigrafie'!R77</f>
        <v>0.33849198322646729</v>
      </c>
      <c r="H34" s="480">
        <f>'1.Dati'!E92</f>
        <v>10.1</v>
      </c>
      <c r="I34" s="901">
        <f t="shared" si="0"/>
        <v>3.42</v>
      </c>
      <c r="J34" s="800"/>
      <c r="L34" s="560"/>
      <c r="M34" s="560"/>
      <c r="N34" s="560"/>
      <c r="O34" s="560"/>
    </row>
    <row r="35" spans="1:15" ht="15.75" customHeight="1">
      <c r="A35" s="1376"/>
      <c r="B35" s="1378" t="s">
        <v>810</v>
      </c>
      <c r="C35" s="770" t="s">
        <v>9</v>
      </c>
      <c r="D35" s="765" t="s">
        <v>600</v>
      </c>
      <c r="E35" s="456" t="s">
        <v>83</v>
      </c>
      <c r="F35" s="418"/>
      <c r="G35" s="783">
        <f>'2.Stratigrafie'!$R$21</f>
        <v>0.15117690925050431</v>
      </c>
      <c r="H35" s="479">
        <f>'1.Dati'!E93</f>
        <v>8.91</v>
      </c>
      <c r="I35" s="784">
        <f t="shared" si="0"/>
        <v>1.35</v>
      </c>
      <c r="J35" s="799">
        <f>SUM(I35:I37)</f>
        <v>7.25</v>
      </c>
    </row>
    <row r="36" spans="1:15" ht="16">
      <c r="A36" s="1376"/>
      <c r="B36" s="1378"/>
      <c r="C36" s="771"/>
      <c r="D36" s="766" t="s">
        <v>846</v>
      </c>
      <c r="E36" s="458" t="s">
        <v>83</v>
      </c>
      <c r="F36" s="420"/>
      <c r="G36" s="218">
        <f>'2.Stratigrafie'!$R$21</f>
        <v>0.15117690925050431</v>
      </c>
      <c r="H36" s="479">
        <f>'1.Dati'!E94</f>
        <v>5.8049999999999997</v>
      </c>
      <c r="I36" s="784">
        <f t="shared" si="0"/>
        <v>0.88</v>
      </c>
      <c r="J36" s="800"/>
    </row>
    <row r="37" spans="1:15" ht="16">
      <c r="A37" s="1376"/>
      <c r="B37" s="1378"/>
      <c r="C37" s="772"/>
      <c r="D37" s="768" t="s">
        <v>816</v>
      </c>
      <c r="E37" s="458" t="s">
        <v>633</v>
      </c>
      <c r="F37" s="420"/>
      <c r="G37" s="218">
        <f>'2.Stratigrafie'!R77</f>
        <v>0.33849198322646729</v>
      </c>
      <c r="H37" s="480">
        <f>'1.Dati'!E95</f>
        <v>14.82</v>
      </c>
      <c r="I37" s="785">
        <f t="shared" si="0"/>
        <v>5.0199999999999996</v>
      </c>
      <c r="J37" s="801"/>
    </row>
    <row r="38" spans="1:15" ht="16">
      <c r="A38" s="1376"/>
      <c r="B38" s="1378"/>
      <c r="C38" s="771" t="s">
        <v>804</v>
      </c>
      <c r="D38" s="766" t="s">
        <v>847</v>
      </c>
      <c r="E38" s="456" t="s">
        <v>83</v>
      </c>
      <c r="F38" s="418"/>
      <c r="G38" s="783">
        <f>'2.Stratigrafie'!$R$21</f>
        <v>0.15117690925050431</v>
      </c>
      <c r="H38" s="479">
        <f>'1.Dati'!E96</f>
        <v>13.716000000000001</v>
      </c>
      <c r="I38" s="784">
        <f t="shared" si="0"/>
        <v>2.0699999999999998</v>
      </c>
      <c r="J38" s="799">
        <f>SUM(I38:I42)</f>
        <v>22.96</v>
      </c>
    </row>
    <row r="39" spans="1:15" ht="16">
      <c r="A39" s="1376"/>
      <c r="B39" s="1378"/>
      <c r="C39" s="771"/>
      <c r="D39" s="766" t="s">
        <v>848</v>
      </c>
      <c r="E39" s="458" t="s">
        <v>83</v>
      </c>
      <c r="F39" s="420"/>
      <c r="G39" s="218">
        <f>'2.Stratigrafie'!$R$21</f>
        <v>0.15117690925050431</v>
      </c>
      <c r="H39" s="479">
        <f>'1.Dati'!E97</f>
        <v>10.692</v>
      </c>
      <c r="I39" s="784">
        <f t="shared" si="0"/>
        <v>1.62</v>
      </c>
      <c r="J39" s="800"/>
    </row>
    <row r="40" spans="1:15" ht="16">
      <c r="A40" s="1376"/>
      <c r="B40" s="1378"/>
      <c r="C40" s="771"/>
      <c r="D40" s="766" t="s">
        <v>815</v>
      </c>
      <c r="E40" s="458" t="s">
        <v>633</v>
      </c>
      <c r="F40" s="420"/>
      <c r="G40" s="218">
        <f>'2.Stratigrafie'!R77</f>
        <v>0.33849198322646729</v>
      </c>
      <c r="H40" s="479">
        <f>'1.Dati'!E98</f>
        <v>37.56</v>
      </c>
      <c r="I40" s="784">
        <f t="shared" si="0"/>
        <v>12.71</v>
      </c>
      <c r="J40" s="800"/>
    </row>
    <row r="41" spans="1:15" ht="16">
      <c r="A41" s="1376"/>
      <c r="B41" s="1378"/>
      <c r="C41" s="776"/>
      <c r="D41" s="766" t="s">
        <v>850</v>
      </c>
      <c r="E41" s="836" t="s">
        <v>856</v>
      </c>
      <c r="F41" s="420"/>
      <c r="G41" s="218">
        <f>'2.Stratigrafie'!R41</f>
        <v>0.31246355597199493</v>
      </c>
      <c r="H41" s="479">
        <f>'1.Dati'!E99</f>
        <v>11.151</v>
      </c>
      <c r="I41" s="784">
        <f t="shared" si="0"/>
        <v>3.48</v>
      </c>
      <c r="J41" s="800"/>
    </row>
    <row r="42" spans="1:15" ht="16">
      <c r="A42" s="1376"/>
      <c r="B42" s="1378"/>
      <c r="C42" s="775"/>
      <c r="D42" s="768" t="s">
        <v>849</v>
      </c>
      <c r="E42" s="458" t="s">
        <v>632</v>
      </c>
      <c r="F42" s="835"/>
      <c r="G42" s="218">
        <f>'2.Stratigrafie'!R57</f>
        <v>1.3986013986013988</v>
      </c>
      <c r="H42" s="480">
        <f>'1.Dati'!E100</f>
        <v>2.2000000000000002</v>
      </c>
      <c r="I42" s="784">
        <f t="shared" si="0"/>
        <v>3.08</v>
      </c>
      <c r="J42" s="801"/>
    </row>
    <row r="43" spans="1:15" ht="16">
      <c r="A43" s="1376"/>
      <c r="B43" s="1378"/>
      <c r="C43" s="774" t="s">
        <v>22</v>
      </c>
      <c r="D43" s="823" t="s">
        <v>851</v>
      </c>
      <c r="E43" s="837" t="s">
        <v>856</v>
      </c>
      <c r="F43" s="418"/>
      <c r="G43" s="783">
        <f>'2.Stratigrafie'!R41</f>
        <v>0.31246355597199493</v>
      </c>
      <c r="H43" s="479">
        <f>'1.Dati'!E101</f>
        <v>1.62</v>
      </c>
      <c r="I43" s="783">
        <f t="shared" si="0"/>
        <v>0.51</v>
      </c>
      <c r="J43" s="799">
        <f>SUM(I43:I44)</f>
        <v>2.1100000000000003</v>
      </c>
    </row>
    <row r="44" spans="1:15" ht="16">
      <c r="A44" s="1376"/>
      <c r="B44" s="1378"/>
      <c r="C44" s="775"/>
      <c r="D44" s="768" t="s">
        <v>822</v>
      </c>
      <c r="E44" s="459" t="s">
        <v>633</v>
      </c>
      <c r="F44" s="421"/>
      <c r="G44" s="785">
        <f>'2.Stratigrafie'!R77</f>
        <v>0.33849198322646729</v>
      </c>
      <c r="H44" s="480">
        <f>'1.Dati'!E102</f>
        <v>4.734</v>
      </c>
      <c r="I44" s="785">
        <f t="shared" si="0"/>
        <v>1.6</v>
      </c>
      <c r="J44" s="801"/>
    </row>
    <row r="45" spans="1:15" ht="16">
      <c r="A45" s="1376"/>
      <c r="B45" s="1378"/>
      <c r="C45" s="774" t="s">
        <v>803</v>
      </c>
      <c r="D45" s="765" t="s">
        <v>852</v>
      </c>
      <c r="E45" s="836" t="s">
        <v>856</v>
      </c>
      <c r="F45" s="420"/>
      <c r="G45" s="218">
        <f>'2.Stratigrafie'!R41</f>
        <v>0.31246355597199493</v>
      </c>
      <c r="H45" s="479">
        <f>'1.Dati'!E103</f>
        <v>4.0500000000000007</v>
      </c>
      <c r="I45" s="784">
        <f t="shared" si="0"/>
        <v>1.27</v>
      </c>
      <c r="J45" s="799">
        <f>SUM(I45:I47)</f>
        <v>3.4899999999999998</v>
      </c>
    </row>
    <row r="46" spans="1:15" ht="16">
      <c r="A46" s="1376"/>
      <c r="B46" s="1378"/>
      <c r="C46" s="776"/>
      <c r="D46" s="766" t="s">
        <v>851</v>
      </c>
      <c r="E46" s="836" t="s">
        <v>856</v>
      </c>
      <c r="F46" s="420"/>
      <c r="G46" s="218">
        <f>'2.Stratigrafie'!R41</f>
        <v>0.31246355597199493</v>
      </c>
      <c r="H46" s="479">
        <f>'1.Dati'!E104</f>
        <v>4.5090000000000003</v>
      </c>
      <c r="I46" s="784">
        <f t="shared" si="0"/>
        <v>1.41</v>
      </c>
      <c r="J46" s="800"/>
    </row>
    <row r="47" spans="1:15" ht="16">
      <c r="A47" s="1376"/>
      <c r="B47" s="1378"/>
      <c r="C47" s="775"/>
      <c r="D47" s="768" t="s">
        <v>824</v>
      </c>
      <c r="E47" s="458" t="s">
        <v>633</v>
      </c>
      <c r="F47" s="420"/>
      <c r="G47" s="218">
        <f>'2.Stratigrafie'!R77</f>
        <v>0.33849198322646729</v>
      </c>
      <c r="H47" s="480">
        <f>'1.Dati'!E105</f>
        <v>2.38</v>
      </c>
      <c r="I47" s="785">
        <f t="shared" si="0"/>
        <v>0.81</v>
      </c>
      <c r="J47" s="801"/>
    </row>
    <row r="48" spans="1:15" ht="16">
      <c r="A48" s="1376"/>
      <c r="B48" s="1378"/>
      <c r="C48" s="774" t="s">
        <v>802</v>
      </c>
      <c r="D48" s="765" t="s">
        <v>853</v>
      </c>
      <c r="E48" s="456" t="s">
        <v>83</v>
      </c>
      <c r="F48" s="418"/>
      <c r="G48" s="808">
        <f>'2.Stratigrafie'!$R$21</f>
        <v>0.15117690925050431</v>
      </c>
      <c r="H48" s="479">
        <f>'1.Dati'!E106</f>
        <v>9.4500000000000011</v>
      </c>
      <c r="I48" s="784">
        <f t="shared" si="0"/>
        <v>1.43</v>
      </c>
      <c r="J48" s="799">
        <f>SUM(I48:I49)</f>
        <v>6.6999999999999993</v>
      </c>
    </row>
    <row r="49" spans="1:15" ht="16">
      <c r="A49" s="1376"/>
      <c r="B49" s="1378"/>
      <c r="C49" s="775"/>
      <c r="D49" s="768" t="s">
        <v>825</v>
      </c>
      <c r="E49" s="458" t="s">
        <v>633</v>
      </c>
      <c r="F49" s="420"/>
      <c r="G49" s="218">
        <f>'2.Stratigrafie'!R77</f>
        <v>0.33849198322646729</v>
      </c>
      <c r="H49" s="480">
        <f>'1.Dati'!E107</f>
        <v>15.575000000000001</v>
      </c>
      <c r="I49" s="785">
        <f t="shared" si="0"/>
        <v>5.27</v>
      </c>
      <c r="J49" s="801"/>
    </row>
    <row r="50" spans="1:15" ht="16">
      <c r="A50" s="1376"/>
      <c r="B50" s="1378"/>
      <c r="C50" s="774" t="s">
        <v>587</v>
      </c>
      <c r="D50" s="765" t="s">
        <v>602</v>
      </c>
      <c r="E50" s="456" t="s">
        <v>83</v>
      </c>
      <c r="F50" s="418"/>
      <c r="G50" s="808">
        <f>'2.Stratigrafie'!$R$21</f>
        <v>0.15117690925050431</v>
      </c>
      <c r="H50" s="479">
        <f>'1.Dati'!E108</f>
        <v>5.4</v>
      </c>
      <c r="I50" s="784">
        <f t="shared" si="0"/>
        <v>0.82</v>
      </c>
      <c r="J50" s="799">
        <f>SUM(I50:I51)</f>
        <v>2.69</v>
      </c>
    </row>
    <row r="51" spans="1:15" ht="16">
      <c r="A51" s="1376"/>
      <c r="B51" s="1378"/>
      <c r="C51" s="775"/>
      <c r="D51" s="768" t="s">
        <v>824</v>
      </c>
      <c r="E51" s="458" t="s">
        <v>633</v>
      </c>
      <c r="F51" s="420"/>
      <c r="G51" s="218">
        <f>'2.Stratigrafie'!R77</f>
        <v>0.33849198322646729</v>
      </c>
      <c r="H51" s="480">
        <f>'1.Dati'!E109</f>
        <v>5.52</v>
      </c>
      <c r="I51" s="785">
        <f t="shared" si="0"/>
        <v>1.87</v>
      </c>
      <c r="J51" s="801"/>
    </row>
    <row r="52" spans="1:15" ht="16">
      <c r="A52" s="1376"/>
      <c r="B52" s="1378"/>
      <c r="C52" s="774" t="s">
        <v>20</v>
      </c>
      <c r="D52" s="765" t="s">
        <v>598</v>
      </c>
      <c r="E52" s="456" t="s">
        <v>83</v>
      </c>
      <c r="F52" s="418"/>
      <c r="G52" s="783">
        <f>'2.Stratigrafie'!$R$21</f>
        <v>0.15117690925050431</v>
      </c>
      <c r="H52" s="479">
        <f>'1.Dati'!E110</f>
        <v>9.5850000000000009</v>
      </c>
      <c r="I52" s="784">
        <f t="shared" si="0"/>
        <v>1.45</v>
      </c>
      <c r="J52" s="799">
        <f>SUM(I52:I54)</f>
        <v>7.57</v>
      </c>
    </row>
    <row r="53" spans="1:15" ht="16">
      <c r="A53" s="1376"/>
      <c r="B53" s="1378"/>
      <c r="C53" s="777"/>
      <c r="D53" s="766" t="s">
        <v>854</v>
      </c>
      <c r="E53" s="458" t="s">
        <v>83</v>
      </c>
      <c r="F53" s="420"/>
      <c r="G53" s="218">
        <f>'2.Stratigrafie'!$R$21</f>
        <v>0.15117690925050431</v>
      </c>
      <c r="H53" s="479">
        <f>'1.Dati'!E111</f>
        <v>9.9360000000000017</v>
      </c>
      <c r="I53" s="784">
        <f t="shared" si="0"/>
        <v>1.5</v>
      </c>
      <c r="J53" s="800"/>
    </row>
    <row r="54" spans="1:15" ht="16">
      <c r="A54" s="1376"/>
      <c r="B54" s="1378"/>
      <c r="C54" s="778"/>
      <c r="D54" s="768" t="s">
        <v>621</v>
      </c>
      <c r="E54" s="458" t="s">
        <v>633</v>
      </c>
      <c r="F54" s="420"/>
      <c r="G54" s="218">
        <f>'2.Stratigrafie'!R77</f>
        <v>0.33849198322646729</v>
      </c>
      <c r="H54" s="480">
        <f>'1.Dati'!E112</f>
        <v>13.64</v>
      </c>
      <c r="I54" s="785">
        <f t="shared" si="0"/>
        <v>4.62</v>
      </c>
      <c r="J54" s="801"/>
    </row>
    <row r="55" spans="1:15" ht="16">
      <c r="A55" s="1376"/>
      <c r="B55" s="1378"/>
      <c r="C55" s="774" t="s">
        <v>586</v>
      </c>
      <c r="D55" s="766" t="s">
        <v>597</v>
      </c>
      <c r="E55" s="456" t="s">
        <v>83</v>
      </c>
      <c r="F55" s="418"/>
      <c r="G55" s="808">
        <f>'2.Stratigrafie'!$R$21</f>
        <v>0.15117690925050431</v>
      </c>
      <c r="H55" s="479">
        <f>'1.Dati'!E113</f>
        <v>7.7220000000000004</v>
      </c>
      <c r="I55" s="784">
        <f t="shared" si="0"/>
        <v>1.17</v>
      </c>
      <c r="J55" s="799">
        <f>SUM(I55:I56)</f>
        <v>3.19</v>
      </c>
    </row>
    <row r="56" spans="1:15" ht="16">
      <c r="A56" s="1376"/>
      <c r="B56" s="1378"/>
      <c r="C56" s="778"/>
      <c r="D56" s="768" t="s">
        <v>826</v>
      </c>
      <c r="E56" s="458" t="s">
        <v>633</v>
      </c>
      <c r="F56" s="420"/>
      <c r="G56" s="218">
        <f>'2.Stratigrafie'!R77</f>
        <v>0.33849198322646729</v>
      </c>
      <c r="H56" s="480">
        <f>'1.Dati'!E114</f>
        <v>5.9773999999999994</v>
      </c>
      <c r="I56" s="785">
        <f t="shared" si="0"/>
        <v>2.02</v>
      </c>
      <c r="J56" s="801"/>
    </row>
    <row r="57" spans="1:15" ht="16">
      <c r="A57" s="1376"/>
      <c r="B57" s="1378"/>
      <c r="C57" s="774" t="s">
        <v>19</v>
      </c>
      <c r="D57" s="765" t="s">
        <v>596</v>
      </c>
      <c r="E57" s="456" t="s">
        <v>83</v>
      </c>
      <c r="F57" s="418"/>
      <c r="G57" s="783">
        <f>'2.Stratigrafie'!$R$21</f>
        <v>0.15117690925050431</v>
      </c>
      <c r="H57" s="479">
        <f>'1.Dati'!E115</f>
        <v>8.6669999999999998</v>
      </c>
      <c r="I57" s="784">
        <f t="shared" si="0"/>
        <v>1.31</v>
      </c>
      <c r="J57" s="799">
        <f>SUM(I57:I59)</f>
        <v>11.59</v>
      </c>
    </row>
    <row r="58" spans="1:15" ht="16">
      <c r="A58" s="1376"/>
      <c r="B58" s="1378"/>
      <c r="C58" s="777"/>
      <c r="D58" s="766" t="s">
        <v>823</v>
      </c>
      <c r="E58" s="836" t="s">
        <v>856</v>
      </c>
      <c r="F58" s="420"/>
      <c r="G58" s="784">
        <f>'2.Stratigrafie'!R41</f>
        <v>0.31246355597199493</v>
      </c>
      <c r="H58" s="479">
        <f>'1.Dati'!E116</f>
        <v>11.07</v>
      </c>
      <c r="I58" s="784">
        <f t="shared" si="0"/>
        <v>3.46</v>
      </c>
      <c r="J58" s="800"/>
    </row>
    <row r="59" spans="1:15" ht="16">
      <c r="A59" s="1376"/>
      <c r="B59" s="1378"/>
      <c r="C59" s="778"/>
      <c r="D59" s="768" t="s">
        <v>620</v>
      </c>
      <c r="E59" s="459" t="s">
        <v>633</v>
      </c>
      <c r="F59" s="421"/>
      <c r="G59" s="785">
        <f>'2.Stratigrafie'!R77</f>
        <v>0.33849198322646729</v>
      </c>
      <c r="H59" s="480">
        <f>'1.Dati'!E117</f>
        <v>20.149999999999999</v>
      </c>
      <c r="I59" s="785">
        <f t="shared" si="0"/>
        <v>6.82</v>
      </c>
      <c r="J59" s="801"/>
    </row>
    <row r="60" spans="1:15" ht="16">
      <c r="A60" s="1376"/>
      <c r="B60" s="1378"/>
      <c r="C60" s="925" t="s">
        <v>588</v>
      </c>
      <c r="D60" s="110" t="s">
        <v>875</v>
      </c>
      <c r="E60" s="836" t="s">
        <v>856</v>
      </c>
      <c r="F60" s="418"/>
      <c r="G60" s="899">
        <f>'2.Stratigrafie'!R41</f>
        <v>0.31246355597199493</v>
      </c>
      <c r="H60" s="911">
        <f>'1.Dati'!E91</f>
        <v>2.9700000000000006</v>
      </c>
      <c r="I60" s="899">
        <f>ROUND(G60*H60,2)</f>
        <v>0.93</v>
      </c>
      <c r="J60" s="899">
        <f>SUM(I60:I61)</f>
        <v>4.3499999999999996</v>
      </c>
      <c r="L60" s="560"/>
      <c r="M60" s="560"/>
      <c r="N60" s="560"/>
      <c r="O60" s="560"/>
    </row>
    <row r="61" spans="1:15" ht="16">
      <c r="A61" s="1376"/>
      <c r="B61" s="1378"/>
      <c r="C61" s="865"/>
      <c r="D61" s="915" t="s">
        <v>872</v>
      </c>
      <c r="E61" s="459" t="s">
        <v>876</v>
      </c>
      <c r="F61" s="421"/>
      <c r="G61" s="901">
        <f>'2.Stratigrafie'!R77</f>
        <v>0.33849198322646729</v>
      </c>
      <c r="H61" s="913">
        <f>'1.Dati'!E92</f>
        <v>10.1</v>
      </c>
      <c r="I61" s="901">
        <f t="shared" ref="I61" si="1">ROUND(G61*H61,2)</f>
        <v>3.42</v>
      </c>
      <c r="J61" s="901"/>
      <c r="L61" s="560"/>
      <c r="M61" s="560"/>
      <c r="N61" s="560"/>
      <c r="O61" s="560"/>
    </row>
    <row r="62" spans="1:15">
      <c r="A62" s="394"/>
      <c r="C62" s="65"/>
      <c r="D62" s="767"/>
      <c r="E62" s="393"/>
      <c r="F62" s="393"/>
      <c r="G62" s="138"/>
      <c r="H62" s="145"/>
      <c r="I62" s="138"/>
      <c r="J62" s="138"/>
      <c r="L62" s="560"/>
      <c r="M62" s="560"/>
      <c r="N62" s="560"/>
      <c r="O62" s="560"/>
    </row>
    <row r="63" spans="1:15">
      <c r="A63" s="394"/>
      <c r="C63" s="65"/>
      <c r="D63" s="767"/>
      <c r="E63" s="393"/>
      <c r="F63" s="393"/>
      <c r="G63" s="138"/>
      <c r="H63" s="145"/>
      <c r="I63" s="138"/>
      <c r="J63" s="138"/>
      <c r="L63" s="560"/>
      <c r="M63" s="560"/>
      <c r="N63" s="560"/>
      <c r="O63" s="560"/>
    </row>
    <row r="64" spans="1:15">
      <c r="A64" s="394"/>
      <c r="C64" s="65"/>
      <c r="D64" s="767"/>
      <c r="E64" s="393"/>
      <c r="F64" s="393"/>
      <c r="G64" s="138"/>
      <c r="H64" s="145"/>
      <c r="I64" s="138"/>
      <c r="J64" s="138"/>
      <c r="L64" s="560"/>
      <c r="M64" s="560"/>
      <c r="N64" s="560"/>
      <c r="O64" s="560"/>
    </row>
    <row r="65" spans="1:17">
      <c r="A65" s="394"/>
      <c r="C65" s="65"/>
      <c r="D65" s="767"/>
      <c r="E65" s="393"/>
      <c r="F65" s="393"/>
      <c r="G65" s="138"/>
      <c r="H65" s="145"/>
      <c r="I65" s="138"/>
      <c r="J65" s="138"/>
    </row>
    <row r="66" spans="1:17">
      <c r="D66" s="560"/>
      <c r="E66" s="560"/>
      <c r="G66" s="51"/>
      <c r="H66" s="560"/>
    </row>
    <row r="67" spans="1:17" ht="15" customHeight="1">
      <c r="A67" s="1517" t="s">
        <v>85</v>
      </c>
      <c r="B67" s="1534"/>
      <c r="C67" s="113" t="s">
        <v>25</v>
      </c>
      <c r="D67" s="819" t="s">
        <v>77</v>
      </c>
      <c r="E67" s="786" t="s">
        <v>78</v>
      </c>
      <c r="F67" s="787"/>
      <c r="G67" s="817" t="s">
        <v>79</v>
      </c>
      <c r="H67" s="787" t="s">
        <v>26</v>
      </c>
      <c r="I67" s="786" t="s">
        <v>80</v>
      </c>
      <c r="J67" s="792"/>
      <c r="K67" s="383"/>
      <c r="L67" s="383"/>
      <c r="M67" s="383"/>
      <c r="N67" s="383"/>
      <c r="O67" s="383"/>
    </row>
    <row r="68" spans="1:17" ht="18" customHeight="1">
      <c r="A68" s="1535" t="s">
        <v>86</v>
      </c>
      <c r="B68" s="1536"/>
      <c r="C68" s="1531" t="s">
        <v>24</v>
      </c>
      <c r="D68" s="790" t="s">
        <v>24</v>
      </c>
      <c r="E68" s="779" t="s">
        <v>24</v>
      </c>
      <c r="F68" s="788"/>
      <c r="G68" s="803" t="s">
        <v>81</v>
      </c>
      <c r="H68" s="173" t="s">
        <v>82</v>
      </c>
      <c r="I68" s="173" t="s">
        <v>130</v>
      </c>
      <c r="J68" s="173" t="s">
        <v>129</v>
      </c>
      <c r="K68" s="383"/>
      <c r="L68" s="383"/>
      <c r="M68" s="383"/>
      <c r="N68" s="383"/>
      <c r="O68" s="383"/>
      <c r="Q68" s="129"/>
    </row>
    <row r="69" spans="1:17" ht="15" customHeight="1">
      <c r="A69" s="1535"/>
      <c r="B69" s="1536"/>
      <c r="C69" s="1532"/>
      <c r="D69" s="791"/>
      <c r="E69" s="780"/>
      <c r="F69" s="789"/>
      <c r="G69" s="814" t="s">
        <v>56</v>
      </c>
      <c r="H69" s="175" t="s">
        <v>32</v>
      </c>
      <c r="I69" s="174" t="s">
        <v>75</v>
      </c>
      <c r="J69" s="175" t="s">
        <v>75</v>
      </c>
      <c r="K69" s="383"/>
      <c r="L69" s="383"/>
      <c r="M69" s="383"/>
      <c r="N69" s="383"/>
      <c r="O69" s="383"/>
    </row>
    <row r="70" spans="1:17" ht="15" customHeight="1">
      <c r="A70" s="1369" t="s">
        <v>835</v>
      </c>
      <c r="B70" s="1481" t="s">
        <v>809</v>
      </c>
      <c r="C70" s="774" t="s">
        <v>9</v>
      </c>
      <c r="D70" s="765" t="s">
        <v>593</v>
      </c>
      <c r="E70" s="456" t="s">
        <v>83</v>
      </c>
      <c r="F70" s="418"/>
      <c r="G70" s="783">
        <f>'2.Stratigrafie'!$R$21</f>
        <v>0.15117690925050431</v>
      </c>
      <c r="H70" s="793">
        <f>'1.Dati'!K66</f>
        <v>8.91</v>
      </c>
      <c r="I70" s="528">
        <f>ROUND(G70*H70,2)</f>
        <v>1.35</v>
      </c>
      <c r="J70" s="783">
        <f>SUM(I70:I71)</f>
        <v>2.23</v>
      </c>
      <c r="K70" s="383"/>
      <c r="L70" s="383"/>
      <c r="M70" s="383"/>
      <c r="N70" s="383"/>
      <c r="O70" s="383"/>
    </row>
    <row r="71" spans="1:17" ht="15" customHeight="1">
      <c r="A71" s="1370"/>
      <c r="B71" s="1482"/>
      <c r="C71" s="775"/>
      <c r="D71" s="768" t="s">
        <v>813</v>
      </c>
      <c r="E71" s="459" t="s">
        <v>83</v>
      </c>
      <c r="F71" s="421"/>
      <c r="G71" s="785">
        <f>'2.Stratigrafie'!$R$21</f>
        <v>0.15117690925050431</v>
      </c>
      <c r="H71" s="794">
        <f>'1.Dati'!K67</f>
        <v>5.8049999999999997</v>
      </c>
      <c r="I71" s="801">
        <f t="shared" ref="I71:I103" si="2">ROUND(G71*H71,2)</f>
        <v>0.88</v>
      </c>
      <c r="J71" s="785"/>
      <c r="K71" s="383"/>
      <c r="L71" s="383"/>
      <c r="M71" s="383"/>
      <c r="N71" s="383"/>
      <c r="O71" s="383"/>
    </row>
    <row r="72" spans="1:17" ht="15" customHeight="1">
      <c r="A72" s="1370"/>
      <c r="B72" s="1482"/>
      <c r="C72" s="771" t="s">
        <v>804</v>
      </c>
      <c r="D72" s="766" t="s">
        <v>814</v>
      </c>
      <c r="E72" s="458" t="s">
        <v>83</v>
      </c>
      <c r="F72" s="420"/>
      <c r="G72" s="784">
        <f>'2.Stratigrafie'!$R$21</f>
        <v>0.15117690925050431</v>
      </c>
      <c r="H72" s="816">
        <f>'1.Dati'!K68</f>
        <v>13.716000000000001</v>
      </c>
      <c r="I72" s="138">
        <f t="shared" si="2"/>
        <v>2.0699999999999998</v>
      </c>
      <c r="J72" s="784">
        <f>SUM(I72:I75)</f>
        <v>10.25</v>
      </c>
      <c r="K72" s="383"/>
      <c r="L72" s="383"/>
      <c r="M72" s="383"/>
      <c r="N72" s="383"/>
      <c r="O72" s="383"/>
    </row>
    <row r="73" spans="1:17" ht="15" customHeight="1">
      <c r="A73" s="1370"/>
      <c r="B73" s="1482"/>
      <c r="C73" s="771"/>
      <c r="D73" s="766" t="s">
        <v>590</v>
      </c>
      <c r="E73" s="458" t="s">
        <v>83</v>
      </c>
      <c r="F73" s="420"/>
      <c r="G73" s="784">
        <f>'2.Stratigrafie'!$R$21</f>
        <v>0.15117690925050431</v>
      </c>
      <c r="H73" s="816">
        <f>'1.Dati'!K69</f>
        <v>10.692</v>
      </c>
      <c r="I73" s="138">
        <f t="shared" si="2"/>
        <v>1.62</v>
      </c>
      <c r="J73" s="784"/>
      <c r="K73" s="383"/>
      <c r="L73" s="383"/>
      <c r="M73" s="383"/>
      <c r="N73" s="383"/>
      <c r="O73" s="383"/>
    </row>
    <row r="74" spans="1:17" ht="15" customHeight="1">
      <c r="A74" s="1370"/>
      <c r="B74" s="1482"/>
      <c r="C74" s="776"/>
      <c r="D74" s="766" t="s">
        <v>818</v>
      </c>
      <c r="E74" s="836" t="s">
        <v>856</v>
      </c>
      <c r="F74" s="420"/>
      <c r="G74" s="784">
        <f>'2.Stratigrafie'!R41</f>
        <v>0.31246355597199493</v>
      </c>
      <c r="H74" s="816">
        <f>'1.Dati'!K70</f>
        <v>11.151</v>
      </c>
      <c r="I74" s="138">
        <f t="shared" si="2"/>
        <v>3.48</v>
      </c>
      <c r="J74" s="784"/>
      <c r="K74" s="383"/>
      <c r="L74" s="383"/>
      <c r="M74" s="383"/>
      <c r="N74" s="383"/>
      <c r="O74" s="383"/>
    </row>
    <row r="75" spans="1:17" ht="15" customHeight="1">
      <c r="A75" s="1370"/>
      <c r="B75" s="1482"/>
      <c r="C75" s="775"/>
      <c r="D75" s="768" t="s">
        <v>819</v>
      </c>
      <c r="E75" s="458" t="s">
        <v>632</v>
      </c>
      <c r="F75" s="460"/>
      <c r="G75" s="218">
        <f>'2.Stratigrafie'!R57</f>
        <v>1.3986013986013988</v>
      </c>
      <c r="H75" s="816">
        <f>'1.Dati'!K71</f>
        <v>2.2000000000000002</v>
      </c>
      <c r="I75" s="138">
        <f t="shared" si="2"/>
        <v>3.08</v>
      </c>
      <c r="J75" s="784"/>
      <c r="K75" s="383"/>
      <c r="L75" s="383"/>
      <c r="M75" s="383"/>
      <c r="N75" s="383"/>
      <c r="O75" s="383"/>
    </row>
    <row r="76" spans="1:17" ht="15" customHeight="1">
      <c r="A76" s="1370"/>
      <c r="B76" s="1482"/>
      <c r="C76" s="774" t="s">
        <v>22</v>
      </c>
      <c r="D76" s="765" t="s">
        <v>821</v>
      </c>
      <c r="E76" s="836" t="s">
        <v>856</v>
      </c>
      <c r="F76" s="462"/>
      <c r="G76" s="512">
        <f>'2.Stratigrafie'!R41</f>
        <v>0.31246355597199493</v>
      </c>
      <c r="H76" s="320">
        <f>'1.Dati'!K72</f>
        <v>1.62</v>
      </c>
      <c r="I76" s="529">
        <f t="shared" si="2"/>
        <v>0.51</v>
      </c>
      <c r="J76" s="773">
        <f>SUM(I76)</f>
        <v>0.51</v>
      </c>
      <c r="K76" s="383"/>
      <c r="L76" s="383"/>
      <c r="M76" s="383"/>
      <c r="N76" s="383"/>
      <c r="O76" s="383"/>
    </row>
    <row r="77" spans="1:17" ht="15" customHeight="1">
      <c r="A77" s="1370"/>
      <c r="B77" s="1482"/>
      <c r="C77" s="774" t="s">
        <v>803</v>
      </c>
      <c r="D77" s="765" t="s">
        <v>827</v>
      </c>
      <c r="E77" s="836" t="s">
        <v>856</v>
      </c>
      <c r="F77" s="460"/>
      <c r="G77" s="218">
        <f>'2.Stratigrafie'!R41</f>
        <v>0.31246355597199493</v>
      </c>
      <c r="H77" s="816">
        <f>'1.Dati'!K73</f>
        <v>4.0500000000000007</v>
      </c>
      <c r="I77" s="138">
        <f t="shared" si="2"/>
        <v>1.27</v>
      </c>
      <c r="J77" s="784">
        <f>SUM(I77:I78)</f>
        <v>2.6799999999999997</v>
      </c>
      <c r="K77" s="383"/>
      <c r="L77" s="383"/>
      <c r="M77" s="383"/>
      <c r="N77" s="383"/>
      <c r="O77" s="383"/>
    </row>
    <row r="78" spans="1:17" ht="15" customHeight="1">
      <c r="A78" s="1370"/>
      <c r="B78" s="1482"/>
      <c r="C78" s="776"/>
      <c r="D78" s="766" t="s">
        <v>823</v>
      </c>
      <c r="E78" s="836" t="s">
        <v>856</v>
      </c>
      <c r="F78" s="460"/>
      <c r="G78" s="218">
        <f>'2.Stratigrafie'!R41</f>
        <v>0.31246355597199493</v>
      </c>
      <c r="H78" s="816">
        <f>'1.Dati'!K74</f>
        <v>4.5090000000000003</v>
      </c>
      <c r="I78" s="138">
        <f t="shared" si="2"/>
        <v>1.41</v>
      </c>
      <c r="J78" s="784"/>
      <c r="K78" s="383"/>
      <c r="L78" s="383"/>
      <c r="M78" s="383"/>
      <c r="N78" s="383"/>
      <c r="O78" s="383"/>
    </row>
    <row r="79" spans="1:17" ht="15" customHeight="1">
      <c r="A79" s="1370"/>
      <c r="B79" s="1482"/>
      <c r="C79" s="774" t="s">
        <v>802</v>
      </c>
      <c r="D79" s="765" t="s">
        <v>591</v>
      </c>
      <c r="E79" s="456" t="s">
        <v>83</v>
      </c>
      <c r="F79" s="418"/>
      <c r="G79" s="783">
        <f>'2.Stratigrafie'!$R$21</f>
        <v>0.15117690925050431</v>
      </c>
      <c r="H79" s="320">
        <f>'1.Dati'!K75</f>
        <v>9.4500000000000011</v>
      </c>
      <c r="I79" s="530">
        <f t="shared" si="2"/>
        <v>1.43</v>
      </c>
      <c r="J79" s="773">
        <f>SUM(I79)</f>
        <v>1.43</v>
      </c>
      <c r="K79" s="383"/>
      <c r="L79" s="383"/>
      <c r="M79" s="383"/>
      <c r="N79" s="383"/>
      <c r="O79" s="383"/>
    </row>
    <row r="80" spans="1:17" ht="15" customHeight="1">
      <c r="A80" s="1370"/>
      <c r="B80" s="1482"/>
      <c r="C80" s="774" t="s">
        <v>587</v>
      </c>
      <c r="D80" s="765" t="s">
        <v>592</v>
      </c>
      <c r="E80" s="456" t="s">
        <v>83</v>
      </c>
      <c r="F80" s="418"/>
      <c r="G80" s="783">
        <f>'2.Stratigrafie'!$R$21</f>
        <v>0.15117690925050431</v>
      </c>
      <c r="H80" s="320">
        <f>'1.Dati'!K76</f>
        <v>5.4</v>
      </c>
      <c r="I80" s="529">
        <f t="shared" si="2"/>
        <v>0.82</v>
      </c>
      <c r="J80" s="773">
        <f>SUM(I80)</f>
        <v>0.82</v>
      </c>
      <c r="K80" s="383"/>
      <c r="L80" s="383"/>
      <c r="M80" s="383"/>
      <c r="N80" s="383"/>
      <c r="O80" s="383"/>
    </row>
    <row r="81" spans="1:15" ht="15" customHeight="1">
      <c r="A81" s="1370"/>
      <c r="B81" s="1482"/>
      <c r="C81" s="774" t="s">
        <v>20</v>
      </c>
      <c r="D81" s="765" t="s">
        <v>595</v>
      </c>
      <c r="E81" s="456" t="s">
        <v>83</v>
      </c>
      <c r="F81" s="418"/>
      <c r="G81" s="783">
        <f>'2.Stratigrafie'!$R$21</f>
        <v>0.15117690925050431</v>
      </c>
      <c r="H81" s="816">
        <f>'1.Dati'!K77</f>
        <v>9.5850000000000009</v>
      </c>
      <c r="I81" s="800">
        <f t="shared" si="2"/>
        <v>1.45</v>
      </c>
      <c r="J81" s="783">
        <f>SUM(I81:I82)</f>
        <v>2.95</v>
      </c>
      <c r="K81" s="383"/>
      <c r="L81" s="383"/>
      <c r="M81" s="383"/>
      <c r="N81" s="383"/>
      <c r="O81" s="383"/>
    </row>
    <row r="82" spans="1:15" ht="15" customHeight="1">
      <c r="A82" s="1370"/>
      <c r="B82" s="1482"/>
      <c r="C82" s="777"/>
      <c r="D82" s="766" t="s">
        <v>589</v>
      </c>
      <c r="E82" s="459" t="s">
        <v>83</v>
      </c>
      <c r="F82" s="421"/>
      <c r="G82" s="785">
        <f>'2.Stratigrafie'!$R$21</f>
        <v>0.15117690925050431</v>
      </c>
      <c r="H82" s="816">
        <f>'1.Dati'!K78</f>
        <v>9.9360000000000017</v>
      </c>
      <c r="I82" s="800">
        <f t="shared" si="2"/>
        <v>1.5</v>
      </c>
      <c r="J82" s="800"/>
      <c r="K82" s="402"/>
      <c r="L82" s="402"/>
      <c r="M82" s="402"/>
      <c r="N82" s="402"/>
      <c r="O82" s="402"/>
    </row>
    <row r="83" spans="1:15" ht="15" customHeight="1">
      <c r="A83" s="1370"/>
      <c r="B83" s="1482"/>
      <c r="C83" s="774" t="s">
        <v>586</v>
      </c>
      <c r="D83" s="130" t="s">
        <v>594</v>
      </c>
      <c r="E83" s="456" t="s">
        <v>83</v>
      </c>
      <c r="F83" s="418"/>
      <c r="G83" s="783">
        <f>'2.Stratigrafie'!$R$21</f>
        <v>0.15117690925050431</v>
      </c>
      <c r="H83" s="320">
        <f>'1.Dati'!K79</f>
        <v>7.7220000000000004</v>
      </c>
      <c r="I83" s="529">
        <f t="shared" si="2"/>
        <v>1.17</v>
      </c>
      <c r="J83" s="773">
        <f>SUM(I83)</f>
        <v>1.17</v>
      </c>
      <c r="K83" s="383"/>
      <c r="L83" s="383"/>
      <c r="M83" s="383"/>
      <c r="N83" s="383"/>
      <c r="O83" s="383"/>
    </row>
    <row r="84" spans="1:15" ht="15" customHeight="1">
      <c r="A84" s="1370"/>
      <c r="B84" s="1482"/>
      <c r="C84" s="774" t="s">
        <v>19</v>
      </c>
      <c r="D84" s="765" t="s">
        <v>599</v>
      </c>
      <c r="E84" s="456" t="s">
        <v>83</v>
      </c>
      <c r="F84" s="418"/>
      <c r="G84" s="783">
        <f>'2.Stratigrafie'!$R$21</f>
        <v>0.15117690925050431</v>
      </c>
      <c r="H84" s="793">
        <f>'1.Dati'!K80</f>
        <v>8.6669999999999998</v>
      </c>
      <c r="I84" s="799">
        <f t="shared" si="2"/>
        <v>1.31</v>
      </c>
      <c r="J84" s="783">
        <f>SUM(I84:I85)</f>
        <v>4.7699999999999996</v>
      </c>
      <c r="K84" s="383"/>
      <c r="L84" s="383"/>
      <c r="M84" s="383"/>
      <c r="N84" s="383"/>
      <c r="O84" s="383"/>
    </row>
    <row r="85" spans="1:15" ht="15" customHeight="1">
      <c r="A85" s="1370"/>
      <c r="B85" s="1482"/>
      <c r="C85" s="777"/>
      <c r="D85" s="766" t="s">
        <v>828</v>
      </c>
      <c r="E85" s="836" t="s">
        <v>856</v>
      </c>
      <c r="F85" s="457"/>
      <c r="G85" s="218">
        <f>'2.Stratigrafie'!R41</f>
        <v>0.31246355597199493</v>
      </c>
      <c r="H85" s="912">
        <f>'1.Dati'!K81</f>
        <v>11.07</v>
      </c>
      <c r="I85" s="138">
        <f t="shared" si="2"/>
        <v>3.46</v>
      </c>
      <c r="J85" s="900"/>
      <c r="K85" s="383"/>
      <c r="L85" s="383"/>
      <c r="M85" s="383"/>
      <c r="N85" s="383"/>
      <c r="O85" s="383"/>
    </row>
    <row r="86" spans="1:15" ht="15" customHeight="1">
      <c r="A86" s="1370"/>
      <c r="B86" s="1483"/>
      <c r="C86" s="927" t="s">
        <v>588</v>
      </c>
      <c r="D86" s="914" t="s">
        <v>874</v>
      </c>
      <c r="E86" s="931" t="s">
        <v>856</v>
      </c>
      <c r="F86" s="932"/>
      <c r="G86" s="512">
        <f>'2.Stratigrafie'!R41</f>
        <v>0.31246355597199493</v>
      </c>
      <c r="H86" s="320">
        <f>'1.Dati'!K82</f>
        <v>2.9700000000000006</v>
      </c>
      <c r="I86" s="529">
        <f t="shared" si="2"/>
        <v>0.93</v>
      </c>
      <c r="J86" s="910">
        <f>SUM(I86)</f>
        <v>0.93</v>
      </c>
      <c r="K86" s="809"/>
      <c r="L86" s="809"/>
      <c r="M86" s="809"/>
      <c r="N86" s="809"/>
      <c r="O86" s="809"/>
    </row>
    <row r="87" spans="1:15" ht="15.75" customHeight="1">
      <c r="A87" s="1370"/>
      <c r="B87" s="1372" t="s">
        <v>810</v>
      </c>
      <c r="C87" s="906" t="s">
        <v>9</v>
      </c>
      <c r="D87" s="765" t="s">
        <v>593</v>
      </c>
      <c r="E87" s="456" t="s">
        <v>83</v>
      </c>
      <c r="F87" s="418"/>
      <c r="G87" s="783">
        <f>'2.Stratigrafie'!$R$21</f>
        <v>0.15117690925050431</v>
      </c>
      <c r="H87" s="793">
        <f>'1.Dati'!K83</f>
        <v>8.91</v>
      </c>
      <c r="I87" s="783">
        <f t="shared" si="2"/>
        <v>1.35</v>
      </c>
      <c r="J87" s="799">
        <f>SUM(I87:I88)</f>
        <v>2.23</v>
      </c>
      <c r="K87" s="383"/>
      <c r="L87" s="383"/>
      <c r="M87" s="383"/>
      <c r="N87" s="383"/>
      <c r="O87" s="383"/>
    </row>
    <row r="88" spans="1:15" ht="16">
      <c r="A88" s="1370"/>
      <c r="B88" s="1373"/>
      <c r="C88" s="908"/>
      <c r="D88" s="768" t="s">
        <v>813</v>
      </c>
      <c r="E88" s="458" t="s">
        <v>83</v>
      </c>
      <c r="F88" s="420"/>
      <c r="G88" s="784">
        <f>'2.Stratigrafie'!$R$21</f>
        <v>0.15117690925050431</v>
      </c>
      <c r="H88" s="794">
        <f>'1.Dati'!K84</f>
        <v>5.8049999999999997</v>
      </c>
      <c r="I88" s="785">
        <f t="shared" si="2"/>
        <v>0.88</v>
      </c>
      <c r="J88" s="839"/>
      <c r="K88" s="809"/>
      <c r="L88" s="809"/>
      <c r="M88" s="809"/>
      <c r="N88" s="809"/>
      <c r="O88" s="809"/>
    </row>
    <row r="89" spans="1:15" ht="16">
      <c r="A89" s="1370"/>
      <c r="B89" s="1373"/>
      <c r="C89" s="921" t="s">
        <v>804</v>
      </c>
      <c r="D89" s="766" t="s">
        <v>814</v>
      </c>
      <c r="E89" s="456" t="s">
        <v>83</v>
      </c>
      <c r="F89" s="418"/>
      <c r="G89" s="783">
        <f>'2.Stratigrafie'!$R$21</f>
        <v>0.15117690925050431</v>
      </c>
      <c r="H89" s="816">
        <f>'1.Dati'!K85</f>
        <v>13.716000000000001</v>
      </c>
      <c r="I89" s="784">
        <f t="shared" si="2"/>
        <v>2.0699999999999998</v>
      </c>
      <c r="J89" s="800">
        <f>SUM(I89:I92)</f>
        <v>10.25</v>
      </c>
      <c r="K89" s="809"/>
      <c r="L89" s="809"/>
      <c r="M89" s="809"/>
      <c r="N89" s="809"/>
      <c r="O89" s="809"/>
    </row>
    <row r="90" spans="1:15" ht="16">
      <c r="A90" s="1370"/>
      <c r="B90" s="1373"/>
      <c r="C90" s="921"/>
      <c r="D90" s="766" t="s">
        <v>590</v>
      </c>
      <c r="E90" s="458" t="s">
        <v>83</v>
      </c>
      <c r="F90" s="420"/>
      <c r="G90" s="784">
        <f>'2.Stratigrafie'!$R$21</f>
        <v>0.15117690925050431</v>
      </c>
      <c r="H90" s="816">
        <f>'1.Dati'!K86</f>
        <v>10.692</v>
      </c>
      <c r="I90" s="784">
        <f t="shared" si="2"/>
        <v>1.62</v>
      </c>
      <c r="J90" s="838"/>
      <c r="K90" s="809"/>
      <c r="L90" s="809"/>
      <c r="M90" s="809"/>
      <c r="N90" s="809"/>
      <c r="O90" s="809"/>
    </row>
    <row r="91" spans="1:15" ht="16">
      <c r="A91" s="1370"/>
      <c r="B91" s="1373"/>
      <c r="C91" s="907"/>
      <c r="D91" s="766" t="s">
        <v>818</v>
      </c>
      <c r="E91" s="836" t="s">
        <v>856</v>
      </c>
      <c r="F91" s="767"/>
      <c r="G91" s="784">
        <f>'2.Stratigrafie'!R41</f>
        <v>0.31246355597199493</v>
      </c>
      <c r="H91" s="816">
        <f>'1.Dati'!K87</f>
        <v>11.151</v>
      </c>
      <c r="I91" s="784">
        <f t="shared" si="2"/>
        <v>3.48</v>
      </c>
      <c r="J91" s="838"/>
      <c r="K91" s="809"/>
      <c r="L91" s="809"/>
      <c r="M91" s="809"/>
      <c r="N91" s="809"/>
      <c r="O91" s="809"/>
    </row>
    <row r="92" spans="1:15" ht="16">
      <c r="A92" s="1370"/>
      <c r="B92" s="1373"/>
      <c r="C92" s="908"/>
      <c r="D92" s="768" t="s">
        <v>819</v>
      </c>
      <c r="E92" s="458" t="s">
        <v>632</v>
      </c>
      <c r="F92" s="767"/>
      <c r="G92" s="784">
        <f>'2.Stratigrafie'!R57</f>
        <v>1.3986013986013988</v>
      </c>
      <c r="H92" s="816">
        <f>'1.Dati'!K88</f>
        <v>2.2000000000000002</v>
      </c>
      <c r="I92" s="784">
        <f t="shared" si="2"/>
        <v>3.08</v>
      </c>
      <c r="J92" s="838"/>
      <c r="K92" s="809"/>
      <c r="L92" s="809"/>
      <c r="M92" s="809"/>
      <c r="N92" s="809"/>
      <c r="O92" s="809"/>
    </row>
    <row r="93" spans="1:15" ht="16">
      <c r="A93" s="1370"/>
      <c r="B93" s="1373"/>
      <c r="C93" s="906" t="s">
        <v>22</v>
      </c>
      <c r="D93" s="765" t="s">
        <v>821</v>
      </c>
      <c r="E93" s="836" t="s">
        <v>856</v>
      </c>
      <c r="F93" s="840"/>
      <c r="G93" s="773">
        <f>'2.Stratigrafie'!R41</f>
        <v>0.31246355597199493</v>
      </c>
      <c r="H93" s="320">
        <f>'1.Dati'!K89</f>
        <v>1.62</v>
      </c>
      <c r="I93" s="773">
        <f t="shared" si="2"/>
        <v>0.51</v>
      </c>
      <c r="J93" s="530">
        <f>SUM(I93)</f>
        <v>0.51</v>
      </c>
      <c r="K93" s="809"/>
      <c r="L93" s="809"/>
      <c r="M93" s="809"/>
      <c r="N93" s="809"/>
      <c r="O93" s="809"/>
    </row>
    <row r="94" spans="1:15" ht="16">
      <c r="A94" s="1370"/>
      <c r="B94" s="1373"/>
      <c r="C94" s="906" t="s">
        <v>803</v>
      </c>
      <c r="D94" s="765" t="s">
        <v>827</v>
      </c>
      <c r="E94" s="836" t="s">
        <v>856</v>
      </c>
      <c r="F94" s="767"/>
      <c r="G94" s="784">
        <f>'2.Stratigrafie'!R41</f>
        <v>0.31246355597199493</v>
      </c>
      <c r="H94" s="816">
        <f>'1.Dati'!K90</f>
        <v>4.0500000000000007</v>
      </c>
      <c r="I94" s="784">
        <f t="shared" si="2"/>
        <v>1.27</v>
      </c>
      <c r="J94" s="800">
        <f>SUM(I94:I95)</f>
        <v>2.6799999999999997</v>
      </c>
      <c r="K94" s="809"/>
      <c r="L94" s="809"/>
      <c r="M94" s="809"/>
      <c r="N94" s="809"/>
      <c r="O94" s="809"/>
    </row>
    <row r="95" spans="1:15" ht="16">
      <c r="A95" s="1370"/>
      <c r="B95" s="1373"/>
      <c r="C95" s="907"/>
      <c r="D95" s="766" t="s">
        <v>823</v>
      </c>
      <c r="E95" s="836" t="s">
        <v>856</v>
      </c>
      <c r="F95" s="767"/>
      <c r="G95" s="784">
        <f>'2.Stratigrafie'!R41</f>
        <v>0.31246355597199493</v>
      </c>
      <c r="H95" s="816">
        <f>'1.Dati'!K91</f>
        <v>4.5090000000000003</v>
      </c>
      <c r="I95" s="784">
        <f t="shared" si="2"/>
        <v>1.41</v>
      </c>
      <c r="J95" s="838"/>
      <c r="K95" s="809"/>
      <c r="L95" s="809"/>
      <c r="M95" s="809"/>
      <c r="N95" s="809"/>
      <c r="O95" s="809"/>
    </row>
    <row r="96" spans="1:15" ht="16">
      <c r="A96" s="1370"/>
      <c r="B96" s="1373"/>
      <c r="C96" s="906" t="s">
        <v>802</v>
      </c>
      <c r="D96" s="765" t="s">
        <v>591</v>
      </c>
      <c r="E96" s="461" t="s">
        <v>83</v>
      </c>
      <c r="F96" s="842"/>
      <c r="G96" s="773">
        <f>'2.Stratigrafie'!$R$21</f>
        <v>0.15117690925050431</v>
      </c>
      <c r="H96" s="320">
        <f>'1.Dati'!K92</f>
        <v>9.4500000000000011</v>
      </c>
      <c r="I96" s="773">
        <f t="shared" si="2"/>
        <v>1.43</v>
      </c>
      <c r="J96" s="530">
        <f>SUM(I96)</f>
        <v>1.43</v>
      </c>
      <c r="K96" s="809"/>
      <c r="L96" s="809"/>
      <c r="M96" s="809"/>
      <c r="N96" s="809"/>
      <c r="O96" s="809"/>
    </row>
    <row r="97" spans="1:15" ht="16">
      <c r="A97" s="1370"/>
      <c r="B97" s="1373"/>
      <c r="C97" s="906" t="s">
        <v>587</v>
      </c>
      <c r="D97" s="765" t="s">
        <v>592</v>
      </c>
      <c r="E97" s="458" t="s">
        <v>83</v>
      </c>
      <c r="F97" s="420"/>
      <c r="G97" s="784">
        <f>'2.Stratigrafie'!$R$21</f>
        <v>0.15117690925050431</v>
      </c>
      <c r="H97" s="320">
        <f>'1.Dati'!K93</f>
        <v>5.4</v>
      </c>
      <c r="I97" s="773">
        <f t="shared" si="2"/>
        <v>0.82</v>
      </c>
      <c r="J97" s="530">
        <f>SUM(I97)</f>
        <v>0.82</v>
      </c>
      <c r="K97" s="809"/>
      <c r="L97" s="809"/>
      <c r="M97" s="809"/>
      <c r="N97" s="809"/>
      <c r="O97" s="809"/>
    </row>
    <row r="98" spans="1:15" ht="16">
      <c r="A98" s="1370"/>
      <c r="B98" s="1373"/>
      <c r="C98" s="906" t="s">
        <v>20</v>
      </c>
      <c r="D98" s="765" t="s">
        <v>595</v>
      </c>
      <c r="E98" s="456" t="s">
        <v>83</v>
      </c>
      <c r="F98" s="418"/>
      <c r="G98" s="783">
        <f>'2.Stratigrafie'!$R$21</f>
        <v>0.15117690925050431</v>
      </c>
      <c r="H98" s="816">
        <f>'1.Dati'!K94</f>
        <v>9.5850000000000009</v>
      </c>
      <c r="I98" s="784">
        <f t="shared" si="2"/>
        <v>1.45</v>
      </c>
      <c r="J98" s="800">
        <f>SUM(I98:I99)</f>
        <v>2.95</v>
      </c>
      <c r="K98" s="809"/>
      <c r="L98" s="809"/>
      <c r="M98" s="809"/>
      <c r="N98" s="809"/>
      <c r="O98" s="809"/>
    </row>
    <row r="99" spans="1:15" ht="16">
      <c r="A99" s="1370"/>
      <c r="B99" s="1373"/>
      <c r="C99" s="923"/>
      <c r="D99" s="766" t="s">
        <v>589</v>
      </c>
      <c r="E99" s="459" t="s">
        <v>83</v>
      </c>
      <c r="F99" s="421"/>
      <c r="G99" s="785">
        <f>'2.Stratigrafie'!$R$21</f>
        <v>0.15117690925050431</v>
      </c>
      <c r="H99" s="816">
        <f>'1.Dati'!K95</f>
        <v>9.9360000000000017</v>
      </c>
      <c r="I99" s="784">
        <f t="shared" si="2"/>
        <v>1.5</v>
      </c>
      <c r="J99" s="838"/>
      <c r="K99" s="809"/>
      <c r="L99" s="809"/>
      <c r="M99" s="809"/>
      <c r="N99" s="809"/>
      <c r="O99" s="809"/>
    </row>
    <row r="100" spans="1:15" ht="16">
      <c r="A100" s="1370"/>
      <c r="B100" s="1373"/>
      <c r="C100" s="906" t="s">
        <v>586</v>
      </c>
      <c r="D100" s="818" t="s">
        <v>594</v>
      </c>
      <c r="E100" s="461" t="s">
        <v>83</v>
      </c>
      <c r="F100" s="842"/>
      <c r="G100" s="773">
        <f>'2.Stratigrafie'!$R$21</f>
        <v>0.15117690925050431</v>
      </c>
      <c r="H100" s="320">
        <f>'1.Dati'!K96</f>
        <v>7.7220000000000004</v>
      </c>
      <c r="I100" s="773">
        <f t="shared" si="2"/>
        <v>1.17</v>
      </c>
      <c r="J100" s="530">
        <f>SUM(I100)</f>
        <v>1.17</v>
      </c>
      <c r="K100" s="809"/>
      <c r="L100" s="809"/>
      <c r="M100" s="809"/>
      <c r="N100" s="809"/>
      <c r="O100" s="809"/>
    </row>
    <row r="101" spans="1:15" ht="16">
      <c r="A101" s="1370"/>
      <c r="B101" s="1373"/>
      <c r="C101" s="906" t="s">
        <v>19</v>
      </c>
      <c r="D101" s="766" t="s">
        <v>599</v>
      </c>
      <c r="E101" s="456" t="s">
        <v>83</v>
      </c>
      <c r="F101" s="418"/>
      <c r="G101" s="784">
        <f>'2.Stratigrafie'!$R$21</f>
        <v>0.15117690925050431</v>
      </c>
      <c r="H101" s="816">
        <f>'1.Dati'!K97</f>
        <v>8.6669999999999998</v>
      </c>
      <c r="I101" s="784">
        <f t="shared" si="2"/>
        <v>1.31</v>
      </c>
      <c r="J101" s="800">
        <f>SUM(I101:I102)</f>
        <v>4.7699999999999996</v>
      </c>
      <c r="K101" s="809"/>
      <c r="L101" s="809"/>
      <c r="M101" s="809"/>
      <c r="N101" s="809"/>
      <c r="O101" s="809"/>
    </row>
    <row r="102" spans="1:15" ht="16">
      <c r="A102" s="1370"/>
      <c r="B102" s="1373"/>
      <c r="C102" s="924"/>
      <c r="D102" s="768" t="s">
        <v>828</v>
      </c>
      <c r="E102" s="843" t="s">
        <v>856</v>
      </c>
      <c r="F102" s="769"/>
      <c r="G102" s="785">
        <f>'2.Stratigrafie'!R41</f>
        <v>0.31246355597199493</v>
      </c>
      <c r="H102" s="794">
        <f>'1.Dati'!K98</f>
        <v>11.07</v>
      </c>
      <c r="I102" s="785">
        <f t="shared" si="2"/>
        <v>3.46</v>
      </c>
      <c r="J102" s="839"/>
      <c r="K102" s="809"/>
      <c r="L102" s="809"/>
      <c r="M102" s="809"/>
      <c r="N102" s="809"/>
      <c r="O102" s="809"/>
    </row>
    <row r="103" spans="1:15" ht="16">
      <c r="A103" s="1371"/>
      <c r="B103" s="1374"/>
      <c r="C103" s="926" t="s">
        <v>588</v>
      </c>
      <c r="D103" s="130" t="s">
        <v>875</v>
      </c>
      <c r="E103" s="933" t="s">
        <v>856</v>
      </c>
      <c r="F103" s="840"/>
      <c r="G103" s="910">
        <f>'2.Stratigrafie'!R41</f>
        <v>0.31246355597199493</v>
      </c>
      <c r="H103" s="934">
        <f>'1.Dati'!K99</f>
        <v>2.9700000000000006</v>
      </c>
      <c r="I103" s="901">
        <f t="shared" si="2"/>
        <v>0.93</v>
      </c>
      <c r="J103" s="530">
        <f>SUM(I103)</f>
        <v>0.93</v>
      </c>
      <c r="K103" s="809"/>
      <c r="L103" s="809"/>
      <c r="M103" s="809"/>
      <c r="N103" s="809"/>
      <c r="O103" s="809"/>
    </row>
    <row r="104" spans="1:15">
      <c r="A104" s="392"/>
      <c r="B104" s="560"/>
      <c r="C104" s="65"/>
      <c r="D104" s="767"/>
      <c r="E104" s="30"/>
      <c r="F104" s="767"/>
      <c r="G104" s="138"/>
      <c r="H104" s="145"/>
      <c r="I104" s="145"/>
      <c r="J104" s="137"/>
      <c r="K104" s="809"/>
      <c r="L104" s="809"/>
      <c r="M104" s="809"/>
      <c r="N104" s="809"/>
      <c r="O104" s="809"/>
    </row>
    <row r="105" spans="1:15">
      <c r="A105" s="392"/>
      <c r="B105" s="560"/>
      <c r="C105" s="65"/>
      <c r="D105" s="767"/>
      <c r="E105" s="30"/>
      <c r="F105" s="767"/>
      <c r="G105" s="138"/>
      <c r="H105" s="145"/>
      <c r="I105" s="145"/>
      <c r="J105" s="137"/>
      <c r="K105" s="809"/>
      <c r="L105" s="809"/>
      <c r="M105" s="809"/>
      <c r="N105" s="809"/>
      <c r="O105" s="809"/>
    </row>
    <row r="106" spans="1:15">
      <c r="A106" s="392"/>
      <c r="B106" s="560"/>
      <c r="C106" s="65"/>
      <c r="D106" s="767"/>
      <c r="E106" s="30"/>
      <c r="F106" s="767"/>
      <c r="G106" s="138"/>
      <c r="H106" s="145"/>
      <c r="I106" s="145"/>
      <c r="J106" s="137"/>
      <c r="K106" s="809"/>
      <c r="L106" s="809"/>
      <c r="M106" s="809"/>
      <c r="N106" s="809"/>
      <c r="O106" s="809"/>
    </row>
    <row r="107" spans="1:15">
      <c r="A107" s="392"/>
      <c r="C107" s="65"/>
      <c r="D107" s="767"/>
      <c r="E107" s="30"/>
      <c r="F107" s="767"/>
      <c r="G107" s="138"/>
      <c r="H107" s="145"/>
      <c r="I107" s="145"/>
      <c r="J107" s="137"/>
      <c r="K107" s="383"/>
      <c r="L107" s="383"/>
      <c r="M107" s="383"/>
      <c r="N107" s="383"/>
      <c r="O107" s="383"/>
    </row>
    <row r="108" spans="1:15">
      <c r="A108" s="392"/>
      <c r="C108" s="65"/>
      <c r="D108" s="767"/>
      <c r="E108" s="30"/>
      <c r="F108" s="767"/>
      <c r="G108" s="138"/>
      <c r="H108" s="145"/>
      <c r="I108" s="145"/>
      <c r="J108" s="138"/>
      <c r="K108" s="383"/>
      <c r="L108" s="383"/>
      <c r="M108" s="383"/>
      <c r="N108" s="383"/>
      <c r="O108" s="383"/>
    </row>
    <row r="109" spans="1:15">
      <c r="A109" s="1517" t="s">
        <v>85</v>
      </c>
      <c r="B109" s="1534"/>
      <c r="C109" s="416" t="s">
        <v>25</v>
      </c>
      <c r="D109" s="819" t="s">
        <v>77</v>
      </c>
      <c r="E109" s="786" t="s">
        <v>78</v>
      </c>
      <c r="F109" s="787"/>
      <c r="G109" s="817" t="s">
        <v>79</v>
      </c>
      <c r="H109" s="787" t="s">
        <v>26</v>
      </c>
      <c r="I109" s="786" t="s">
        <v>80</v>
      </c>
      <c r="J109" s="792"/>
    </row>
    <row r="110" spans="1:15" ht="18" customHeight="1">
      <c r="A110" s="1535" t="s">
        <v>86</v>
      </c>
      <c r="B110" s="1536"/>
      <c r="C110" s="1531" t="s">
        <v>24</v>
      </c>
      <c r="D110" s="790" t="s">
        <v>24</v>
      </c>
      <c r="E110" s="779" t="s">
        <v>24</v>
      </c>
      <c r="F110" s="788"/>
      <c r="G110" s="803" t="s">
        <v>81</v>
      </c>
      <c r="H110" s="802" t="s">
        <v>82</v>
      </c>
      <c r="I110" s="173" t="s">
        <v>130</v>
      </c>
      <c r="J110" s="802" t="s">
        <v>129</v>
      </c>
    </row>
    <row r="111" spans="1:15" ht="15" customHeight="1">
      <c r="A111" s="1535"/>
      <c r="B111" s="1536"/>
      <c r="C111" s="1532"/>
      <c r="D111" s="791"/>
      <c r="E111" s="780"/>
      <c r="F111" s="789"/>
      <c r="G111" s="814" t="s">
        <v>56</v>
      </c>
      <c r="H111" s="805" t="s">
        <v>32</v>
      </c>
      <c r="I111" s="174" t="s">
        <v>75</v>
      </c>
      <c r="J111" s="805" t="s">
        <v>75</v>
      </c>
    </row>
    <row r="112" spans="1:15" ht="15" customHeight="1">
      <c r="A112" s="1565" t="s">
        <v>845</v>
      </c>
      <c r="B112" s="1481" t="s">
        <v>809</v>
      </c>
      <c r="C112" s="770" t="s">
        <v>9</v>
      </c>
      <c r="D112" s="765" t="s">
        <v>593</v>
      </c>
      <c r="E112" s="456" t="s">
        <v>83</v>
      </c>
      <c r="F112" s="430"/>
      <c r="G112" s="1258">
        <f>'2.Stratigrafie'!$R$21</f>
        <v>0.15117690925050431</v>
      </c>
      <c r="H112" s="793">
        <f>'1.Dati'!Q66</f>
        <v>8.91</v>
      </c>
      <c r="I112" s="799">
        <f>ROUND(G112*H112,2)</f>
        <v>1.35</v>
      </c>
      <c r="J112" s="783">
        <f>SUM(I112:I114)</f>
        <v>5.68</v>
      </c>
    </row>
    <row r="113" spans="1:15" ht="15" customHeight="1">
      <c r="A113" s="1566"/>
      <c r="B113" s="1482"/>
      <c r="C113" s="771"/>
      <c r="D113" s="766" t="s">
        <v>813</v>
      </c>
      <c r="E113" s="458" t="s">
        <v>83</v>
      </c>
      <c r="F113" s="419"/>
      <c r="G113" s="1259">
        <f>'2.Stratigrafie'!$R$21</f>
        <v>0.15117690925050431</v>
      </c>
      <c r="H113" s="816">
        <f>'1.Dati'!Q67</f>
        <v>5.8049999999999997</v>
      </c>
      <c r="I113" s="800">
        <f t="shared" ref="I113" si="3">ROUND(G113*H113,2)</f>
        <v>0.88</v>
      </c>
      <c r="J113" s="784"/>
    </row>
    <row r="114" spans="1:15" ht="15" customHeight="1">
      <c r="A114" s="1566"/>
      <c r="B114" s="1482"/>
      <c r="C114" s="772"/>
      <c r="D114" s="768" t="s">
        <v>836</v>
      </c>
      <c r="E114" s="458" t="s">
        <v>634</v>
      </c>
      <c r="F114" s="431"/>
      <c r="G114" s="785">
        <f>'2.Stratigrafie'!R96</f>
        <v>0.2327166892283167</v>
      </c>
      <c r="H114" s="794">
        <f>'1.Dati'!Q68</f>
        <v>14.82</v>
      </c>
      <c r="I114" s="801">
        <f>ROUND(G114*H114,2)</f>
        <v>3.45</v>
      </c>
      <c r="J114" s="785"/>
    </row>
    <row r="115" spans="1:15" ht="15" customHeight="1">
      <c r="A115" s="1566"/>
      <c r="B115" s="1482"/>
      <c r="C115" s="771" t="s">
        <v>804</v>
      </c>
      <c r="D115" s="766" t="s">
        <v>814</v>
      </c>
      <c r="E115" s="456" t="s">
        <v>83</v>
      </c>
      <c r="F115" s="418"/>
      <c r="G115" s="1258">
        <f>'2.Stratigrafie'!$R$21</f>
        <v>0.15117690925050431</v>
      </c>
      <c r="H115" s="816">
        <f>'1.Dati'!Q69</f>
        <v>13.716000000000001</v>
      </c>
      <c r="I115" s="799">
        <f>ROUND(G115*H115,2)</f>
        <v>2.0699999999999998</v>
      </c>
      <c r="J115" s="783">
        <f>SUM(I115:I119)</f>
        <v>18.990000000000002</v>
      </c>
    </row>
    <row r="116" spans="1:15" ht="15" customHeight="1">
      <c r="A116" s="1566"/>
      <c r="B116" s="1482"/>
      <c r="C116" s="771"/>
      <c r="D116" s="766" t="s">
        <v>590</v>
      </c>
      <c r="E116" s="458" t="s">
        <v>83</v>
      </c>
      <c r="F116" s="420"/>
      <c r="G116" s="1259">
        <f>'2.Stratigrafie'!$R$21</f>
        <v>0.15117690925050431</v>
      </c>
      <c r="H116" s="816">
        <f>'1.Dati'!Q70</f>
        <v>10.692</v>
      </c>
      <c r="I116" s="800">
        <f t="shared" ref="I116:I163" si="4">ROUND(G116*H116,2)</f>
        <v>1.62</v>
      </c>
      <c r="J116" s="784"/>
    </row>
    <row r="117" spans="1:15" ht="15" customHeight="1">
      <c r="A117" s="1566"/>
      <c r="B117" s="1482"/>
      <c r="C117" s="771"/>
      <c r="D117" s="766" t="s">
        <v>837</v>
      </c>
      <c r="E117" s="458" t="s">
        <v>634</v>
      </c>
      <c r="F117" s="420"/>
      <c r="G117" s="784">
        <f>'2.Stratigrafie'!R96</f>
        <v>0.2327166892283167</v>
      </c>
      <c r="H117" s="816">
        <f>'1.Dati'!Q71</f>
        <v>37.56</v>
      </c>
      <c r="I117" s="800">
        <f t="shared" si="4"/>
        <v>8.74</v>
      </c>
      <c r="J117" s="784"/>
    </row>
    <row r="118" spans="1:15" ht="15" customHeight="1">
      <c r="A118" s="1566"/>
      <c r="B118" s="1482"/>
      <c r="C118" s="776"/>
      <c r="D118" s="766" t="s">
        <v>818</v>
      </c>
      <c r="E118" s="836" t="s">
        <v>856</v>
      </c>
      <c r="F118" s="420"/>
      <c r="G118" s="784">
        <f>'2.Stratigrafie'!R41</f>
        <v>0.31246355597199493</v>
      </c>
      <c r="H118" s="816">
        <f>'1.Dati'!Q72</f>
        <v>11.151</v>
      </c>
      <c r="I118" s="800">
        <f t="shared" si="4"/>
        <v>3.48</v>
      </c>
      <c r="J118" s="784"/>
    </row>
    <row r="119" spans="1:15" ht="15" customHeight="1">
      <c r="A119" s="1566"/>
      <c r="B119" s="1482"/>
      <c r="C119" s="775"/>
      <c r="D119" s="768" t="s">
        <v>819</v>
      </c>
      <c r="E119" s="459" t="s">
        <v>632</v>
      </c>
      <c r="F119" s="421"/>
      <c r="G119" s="785">
        <f>'2.Stratigrafie'!R57</f>
        <v>1.3986013986013988</v>
      </c>
      <c r="H119" s="816">
        <f>'1.Dati'!Q73</f>
        <v>2.2000000000000002</v>
      </c>
      <c r="I119" s="801">
        <f t="shared" si="4"/>
        <v>3.08</v>
      </c>
      <c r="J119" s="785"/>
      <c r="K119" s="390"/>
      <c r="L119" s="1533"/>
      <c r="M119" s="1533"/>
      <c r="N119" s="1533"/>
      <c r="O119" s="1533"/>
    </row>
    <row r="120" spans="1:15" ht="17.25" customHeight="1">
      <c r="A120" s="1566"/>
      <c r="B120" s="1482"/>
      <c r="C120" s="774" t="s">
        <v>22</v>
      </c>
      <c r="D120" s="765" t="s">
        <v>821</v>
      </c>
      <c r="E120" s="836" t="s">
        <v>856</v>
      </c>
      <c r="F120" s="419"/>
      <c r="G120" s="784">
        <f>'2.Stratigrafie'!R41</f>
        <v>0.31246355597199493</v>
      </c>
      <c r="H120" s="793">
        <f>'1.Dati'!Q74</f>
        <v>1.62</v>
      </c>
      <c r="I120" s="800">
        <f t="shared" si="4"/>
        <v>0.51</v>
      </c>
      <c r="J120" s="784">
        <f>SUM(I120:I121)</f>
        <v>1.61</v>
      </c>
      <c r="K120" s="390"/>
      <c r="L120" s="391"/>
      <c r="M120" s="391"/>
      <c r="N120" s="391"/>
      <c r="O120" s="391"/>
    </row>
    <row r="121" spans="1:15" ht="15" customHeight="1">
      <c r="A121" s="1566"/>
      <c r="B121" s="1482"/>
      <c r="C121" s="775"/>
      <c r="D121" s="768" t="s">
        <v>838</v>
      </c>
      <c r="E121" s="458" t="s">
        <v>634</v>
      </c>
      <c r="F121" s="419"/>
      <c r="G121" s="784">
        <f>'2.Stratigrafie'!R96</f>
        <v>0.2327166892283167</v>
      </c>
      <c r="H121" s="794">
        <f>'1.Dati'!Q75</f>
        <v>4.734</v>
      </c>
      <c r="I121" s="800">
        <f t="shared" si="4"/>
        <v>1.1000000000000001</v>
      </c>
      <c r="J121" s="784"/>
      <c r="K121" s="389"/>
      <c r="L121" s="1533"/>
      <c r="M121" s="1533"/>
      <c r="N121" s="1533"/>
      <c r="O121" s="1533"/>
    </row>
    <row r="122" spans="1:15" ht="15" customHeight="1">
      <c r="A122" s="1566"/>
      <c r="B122" s="1482"/>
      <c r="C122" s="774" t="s">
        <v>803</v>
      </c>
      <c r="D122" s="765" t="s">
        <v>827</v>
      </c>
      <c r="E122" s="836" t="s">
        <v>856</v>
      </c>
      <c r="F122" s="430"/>
      <c r="G122" s="783">
        <f>'2.Stratigrafie'!R41</f>
        <v>0.31246355597199493</v>
      </c>
      <c r="H122" s="816">
        <f>'1.Dati'!Q76</f>
        <v>4.0500000000000007</v>
      </c>
      <c r="I122" s="799">
        <f t="shared" si="4"/>
        <v>1.27</v>
      </c>
      <c r="J122" s="783">
        <f>SUM(I122:I124)</f>
        <v>3.2299999999999995</v>
      </c>
      <c r="K122" s="17"/>
      <c r="L122" s="14"/>
      <c r="M122" s="14"/>
      <c r="N122" s="14"/>
      <c r="O122" s="14"/>
    </row>
    <row r="123" spans="1:15" ht="15" customHeight="1">
      <c r="A123" s="1566"/>
      <c r="B123" s="1482"/>
      <c r="C123" s="776"/>
      <c r="D123" s="766" t="s">
        <v>823</v>
      </c>
      <c r="E123" s="836" t="s">
        <v>856</v>
      </c>
      <c r="F123" s="419"/>
      <c r="G123" s="784">
        <f>'2.Stratigrafie'!R41</f>
        <v>0.31246355597199493</v>
      </c>
      <c r="H123" s="816">
        <f>'1.Dati'!Q77</f>
        <v>4.5090000000000003</v>
      </c>
      <c r="I123" s="800">
        <f t="shared" si="4"/>
        <v>1.41</v>
      </c>
      <c r="J123" s="784"/>
      <c r="K123" s="17"/>
      <c r="L123" s="14"/>
      <c r="M123" s="14"/>
      <c r="N123" s="14"/>
      <c r="O123" s="14"/>
    </row>
    <row r="124" spans="1:15" ht="15" customHeight="1">
      <c r="A124" s="1566"/>
      <c r="B124" s="1482"/>
      <c r="C124" s="775"/>
      <c r="D124" s="768" t="s">
        <v>839</v>
      </c>
      <c r="E124" s="458" t="s">
        <v>634</v>
      </c>
      <c r="F124" s="431"/>
      <c r="G124" s="785">
        <f>'2.Stratigrafie'!R96</f>
        <v>0.2327166892283167</v>
      </c>
      <c r="H124" s="816">
        <f>'1.Dati'!Q78</f>
        <v>2.38</v>
      </c>
      <c r="I124" s="801">
        <f t="shared" si="4"/>
        <v>0.55000000000000004</v>
      </c>
      <c r="J124" s="785"/>
      <c r="K124" s="17"/>
      <c r="L124" s="14"/>
      <c r="M124" s="14"/>
      <c r="N124" s="14"/>
      <c r="O124" s="14"/>
    </row>
    <row r="125" spans="1:15" ht="15" customHeight="1">
      <c r="A125" s="1566"/>
      <c r="B125" s="1482"/>
      <c r="C125" s="774" t="s">
        <v>802</v>
      </c>
      <c r="D125" s="765" t="s">
        <v>591</v>
      </c>
      <c r="E125" s="456" t="s">
        <v>83</v>
      </c>
      <c r="F125" s="430"/>
      <c r="G125" s="1258">
        <f>'2.Stratigrafie'!$R$21</f>
        <v>0.15117690925050431</v>
      </c>
      <c r="H125" s="793">
        <f>'1.Dati'!Q79</f>
        <v>9.4500000000000011</v>
      </c>
      <c r="I125" s="800">
        <f t="shared" si="4"/>
        <v>1.43</v>
      </c>
      <c r="J125" s="784">
        <f>SUM(I125:I126)</f>
        <v>5.05</v>
      </c>
      <c r="K125" s="17"/>
      <c r="L125" s="17"/>
      <c r="M125" s="17"/>
      <c r="N125" s="17"/>
      <c r="O125" s="17"/>
    </row>
    <row r="126" spans="1:15" ht="18" customHeight="1">
      <c r="A126" s="1566"/>
      <c r="B126" s="1482"/>
      <c r="C126" s="775"/>
      <c r="D126" s="768" t="s">
        <v>840</v>
      </c>
      <c r="E126" s="458" t="s">
        <v>634</v>
      </c>
      <c r="F126" s="419"/>
      <c r="G126" s="784">
        <f>'2.Stratigrafie'!R96</f>
        <v>0.2327166892283167</v>
      </c>
      <c r="H126" s="794">
        <f>'1.Dati'!Q80</f>
        <v>15.575000000000001</v>
      </c>
      <c r="I126" s="800">
        <f t="shared" si="4"/>
        <v>3.62</v>
      </c>
      <c r="J126" s="784"/>
      <c r="K126" s="17"/>
      <c r="L126" s="17"/>
      <c r="M126" s="17"/>
      <c r="N126" s="17"/>
      <c r="O126" s="17"/>
    </row>
    <row r="127" spans="1:15" ht="15" customHeight="1">
      <c r="A127" s="1566"/>
      <c r="B127" s="1482"/>
      <c r="C127" s="774" t="s">
        <v>587</v>
      </c>
      <c r="D127" s="765" t="s">
        <v>592</v>
      </c>
      <c r="E127" s="456" t="s">
        <v>83</v>
      </c>
      <c r="F127" s="430"/>
      <c r="G127" s="1258">
        <f>'2.Stratigrafie'!$R$21</f>
        <v>0.15117690925050431</v>
      </c>
      <c r="H127" s="816">
        <f>'1.Dati'!Q81</f>
        <v>5.4</v>
      </c>
      <c r="I127" s="799">
        <f t="shared" si="4"/>
        <v>0.82</v>
      </c>
      <c r="J127" s="783">
        <f>SUM(I127:I128)</f>
        <v>2.1</v>
      </c>
      <c r="K127" s="17"/>
      <c r="L127" s="17"/>
      <c r="M127" s="17"/>
      <c r="N127" s="17"/>
      <c r="O127" s="17"/>
    </row>
    <row r="128" spans="1:15" ht="15" customHeight="1">
      <c r="A128" s="1566"/>
      <c r="B128" s="1482"/>
      <c r="C128" s="775"/>
      <c r="D128" s="768" t="s">
        <v>841</v>
      </c>
      <c r="E128" s="458" t="s">
        <v>634</v>
      </c>
      <c r="F128" s="431"/>
      <c r="G128" s="785">
        <f>'2.Stratigrafie'!R96</f>
        <v>0.2327166892283167</v>
      </c>
      <c r="H128" s="816">
        <f>'1.Dati'!Q82</f>
        <v>5.52</v>
      </c>
      <c r="I128" s="801">
        <f t="shared" si="4"/>
        <v>1.28</v>
      </c>
      <c r="J128" s="785"/>
      <c r="K128" s="17"/>
      <c r="L128" s="17"/>
      <c r="M128" s="17"/>
      <c r="N128" s="17"/>
      <c r="O128" s="17"/>
    </row>
    <row r="129" spans="1:15" ht="15" customHeight="1">
      <c r="A129" s="1566"/>
      <c r="B129" s="1482"/>
      <c r="C129" s="774" t="s">
        <v>20</v>
      </c>
      <c r="D129" s="765" t="s">
        <v>595</v>
      </c>
      <c r="E129" s="456" t="s">
        <v>83</v>
      </c>
      <c r="F129" s="430"/>
      <c r="G129" s="1258">
        <f>'2.Stratigrafie'!$R$21</f>
        <v>0.15117690925050431</v>
      </c>
      <c r="H129" s="793">
        <f>'1.Dati'!Q83</f>
        <v>9.5850000000000009</v>
      </c>
      <c r="I129" s="799">
        <f t="shared" si="4"/>
        <v>1.45</v>
      </c>
      <c r="J129" s="783">
        <f>SUM(I129:I131)</f>
        <v>6.12</v>
      </c>
      <c r="K129" s="17"/>
      <c r="L129" s="17"/>
      <c r="M129" s="17"/>
      <c r="N129" s="17"/>
      <c r="O129" s="17"/>
    </row>
    <row r="130" spans="1:15" ht="15" customHeight="1">
      <c r="A130" s="1566"/>
      <c r="B130" s="1482"/>
      <c r="C130" s="777"/>
      <c r="D130" s="766" t="s">
        <v>589</v>
      </c>
      <c r="E130" s="456" t="s">
        <v>83</v>
      </c>
      <c r="F130" s="430"/>
      <c r="G130" s="1258">
        <f>'2.Stratigrafie'!$R$21</f>
        <v>0.15117690925050431</v>
      </c>
      <c r="H130" s="816">
        <f>'1.Dati'!Q84</f>
        <v>9.9360000000000017</v>
      </c>
      <c r="I130" s="800">
        <f t="shared" si="4"/>
        <v>1.5</v>
      </c>
      <c r="J130" s="784"/>
      <c r="K130" s="17"/>
      <c r="L130" s="17"/>
      <c r="M130" s="17"/>
      <c r="N130" s="17"/>
      <c r="O130" s="17"/>
    </row>
    <row r="131" spans="1:15" ht="15" customHeight="1">
      <c r="A131" s="1566"/>
      <c r="B131" s="1482"/>
      <c r="C131" s="778"/>
      <c r="D131" s="768" t="s">
        <v>635</v>
      </c>
      <c r="E131" s="458" t="s">
        <v>634</v>
      </c>
      <c r="F131" s="431"/>
      <c r="G131" s="785">
        <f>'2.Stratigrafie'!R96</f>
        <v>0.2327166892283167</v>
      </c>
      <c r="H131" s="794">
        <f>'1.Dati'!Q85</f>
        <v>13.64</v>
      </c>
      <c r="I131" s="801">
        <f t="shared" si="4"/>
        <v>3.17</v>
      </c>
      <c r="J131" s="785"/>
      <c r="K131" s="17"/>
      <c r="L131" s="17"/>
      <c r="M131" s="17"/>
      <c r="N131" s="17"/>
      <c r="O131" s="17"/>
    </row>
    <row r="132" spans="1:15" ht="15" customHeight="1">
      <c r="A132" s="1566"/>
      <c r="B132" s="1482"/>
      <c r="C132" s="774" t="s">
        <v>586</v>
      </c>
      <c r="D132" s="766" t="s">
        <v>594</v>
      </c>
      <c r="E132" s="456" t="s">
        <v>83</v>
      </c>
      <c r="F132" s="430"/>
      <c r="G132" s="1258">
        <f>'2.Stratigrafie'!$R$21</f>
        <v>0.15117690925050431</v>
      </c>
      <c r="H132" s="816">
        <f>'1.Dati'!Q86</f>
        <v>7.7220000000000004</v>
      </c>
      <c r="I132" s="800">
        <f t="shared" si="4"/>
        <v>1.17</v>
      </c>
      <c r="J132" s="784">
        <f>SUM(I132:I133)</f>
        <v>2.5599999999999996</v>
      </c>
      <c r="K132" s="17"/>
      <c r="L132" s="17"/>
      <c r="M132" s="17"/>
      <c r="N132" s="17"/>
      <c r="O132" s="17"/>
    </row>
    <row r="133" spans="1:15" ht="15" customHeight="1">
      <c r="A133" s="1566"/>
      <c r="B133" s="1482"/>
      <c r="C133" s="778"/>
      <c r="D133" s="768" t="s">
        <v>842</v>
      </c>
      <c r="E133" s="458" t="s">
        <v>634</v>
      </c>
      <c r="F133" s="421"/>
      <c r="G133" s="785">
        <f>'2.Stratigrafie'!R96</f>
        <v>0.2327166892283167</v>
      </c>
      <c r="H133" s="816">
        <f>'1.Dati'!Q87</f>
        <v>5.9773999999999994</v>
      </c>
      <c r="I133" s="801">
        <f t="shared" si="4"/>
        <v>1.39</v>
      </c>
      <c r="J133" s="785"/>
      <c r="K133" s="17"/>
      <c r="L133" s="17"/>
      <c r="M133" s="17"/>
      <c r="N133" s="17"/>
      <c r="O133" s="17"/>
    </row>
    <row r="134" spans="1:15" ht="15" customHeight="1">
      <c r="A134" s="1566"/>
      <c r="B134" s="1482"/>
      <c r="C134" s="774" t="s">
        <v>19</v>
      </c>
      <c r="D134" s="765" t="s">
        <v>599</v>
      </c>
      <c r="E134" s="456" t="s">
        <v>83</v>
      </c>
      <c r="F134" s="430"/>
      <c r="G134" s="1258">
        <f>'2.Stratigrafie'!$R$21</f>
        <v>0.15117690925050431</v>
      </c>
      <c r="H134" s="793">
        <f>'1.Dati'!Q88</f>
        <v>8.6669999999999998</v>
      </c>
      <c r="I134" s="783">
        <f t="shared" si="4"/>
        <v>1.31</v>
      </c>
      <c r="J134" s="783">
        <f>SUM(I134:I136)</f>
        <v>9.4600000000000009</v>
      </c>
      <c r="K134" s="17"/>
      <c r="L134" s="17"/>
      <c r="M134" s="17"/>
      <c r="N134" s="17"/>
      <c r="O134" s="17"/>
    </row>
    <row r="135" spans="1:15" ht="15" customHeight="1">
      <c r="A135" s="1566"/>
      <c r="B135" s="1482"/>
      <c r="C135" s="777"/>
      <c r="D135" s="766" t="s">
        <v>828</v>
      </c>
      <c r="E135" s="836" t="s">
        <v>856</v>
      </c>
      <c r="F135" s="419"/>
      <c r="G135" s="784">
        <f>'2.Stratigrafie'!R41</f>
        <v>0.31246355597199493</v>
      </c>
      <c r="H135" s="816">
        <f>'1.Dati'!Q89</f>
        <v>11.07</v>
      </c>
      <c r="I135" s="784">
        <f t="shared" si="4"/>
        <v>3.46</v>
      </c>
      <c r="J135" s="784"/>
      <c r="K135" s="17"/>
      <c r="L135" s="17"/>
      <c r="M135" s="17"/>
      <c r="N135" s="17"/>
      <c r="O135" s="17"/>
    </row>
    <row r="136" spans="1:15" ht="15" customHeight="1">
      <c r="A136" s="1566"/>
      <c r="B136" s="1482"/>
      <c r="C136" s="909"/>
      <c r="D136" s="896" t="s">
        <v>636</v>
      </c>
      <c r="E136" s="458" t="s">
        <v>634</v>
      </c>
      <c r="F136" s="419"/>
      <c r="G136" s="784">
        <f>'2.Stratigrafie'!R96</f>
        <v>0.2327166892283167</v>
      </c>
      <c r="H136" s="912">
        <f>'1.Dati'!Q90</f>
        <v>20.149999999999999</v>
      </c>
      <c r="I136" s="900">
        <f t="shared" si="4"/>
        <v>4.6900000000000004</v>
      </c>
      <c r="J136" s="784"/>
      <c r="K136" s="17"/>
      <c r="L136" s="17"/>
      <c r="M136" s="17"/>
      <c r="N136" s="17"/>
      <c r="O136" s="17"/>
    </row>
    <row r="137" spans="1:15" ht="15" customHeight="1">
      <c r="A137" s="1566"/>
      <c r="B137" s="1482"/>
      <c r="C137" s="935" t="s">
        <v>588</v>
      </c>
      <c r="D137" s="110" t="s">
        <v>874</v>
      </c>
      <c r="E137" s="936" t="s">
        <v>856</v>
      </c>
      <c r="F137" s="928"/>
      <c r="G137" s="899">
        <f>'2.Stratigrafie'!R41</f>
        <v>0.31246355597199493</v>
      </c>
      <c r="H137" s="911">
        <f>'1.Dati'!Q91</f>
        <v>2.9700000000000006</v>
      </c>
      <c r="I137" s="899">
        <f t="shared" ref="I137:I138" si="5">ROUND(G137*H137,2)</f>
        <v>0.93</v>
      </c>
      <c r="J137" s="899">
        <f>SUM(I137:I138)</f>
        <v>4.3499999999999996</v>
      </c>
      <c r="K137" s="17"/>
      <c r="L137" s="17"/>
      <c r="M137" s="17"/>
      <c r="N137" s="17"/>
      <c r="O137" s="17"/>
    </row>
    <row r="138" spans="1:15" ht="15" customHeight="1">
      <c r="A138" s="1566"/>
      <c r="B138" s="1483"/>
      <c r="C138" s="871"/>
      <c r="D138" s="915" t="s">
        <v>871</v>
      </c>
      <c r="E138" s="929" t="s">
        <v>876</v>
      </c>
      <c r="F138" s="930"/>
      <c r="G138" s="901">
        <f>'2.Stratigrafie'!R77</f>
        <v>0.33849198322646729</v>
      </c>
      <c r="H138" s="913">
        <f>'1.Dati'!Q92</f>
        <v>10.1</v>
      </c>
      <c r="I138" s="901">
        <f t="shared" si="5"/>
        <v>3.42</v>
      </c>
      <c r="J138" s="901"/>
      <c r="K138" s="17"/>
      <c r="L138" s="17"/>
      <c r="M138" s="17"/>
      <c r="N138" s="17"/>
      <c r="O138" s="17"/>
    </row>
    <row r="139" spans="1:15" ht="15" customHeight="1">
      <c r="A139" s="1566"/>
      <c r="B139" s="1567" t="s">
        <v>810</v>
      </c>
      <c r="C139" s="866" t="s">
        <v>9</v>
      </c>
      <c r="D139" s="896" t="s">
        <v>600</v>
      </c>
      <c r="E139" s="458" t="s">
        <v>83</v>
      </c>
      <c r="F139" s="419"/>
      <c r="G139" s="900">
        <f>'2.Stratigrafie'!$R$21</f>
        <v>0.15117690925050431</v>
      </c>
      <c r="H139" s="816">
        <f>'1.Dati'!Q93</f>
        <v>8.91</v>
      </c>
      <c r="I139" s="784">
        <f t="shared" si="4"/>
        <v>1.35</v>
      </c>
      <c r="J139" s="900">
        <f>SUM(I139:I141)</f>
        <v>5.68</v>
      </c>
      <c r="K139" s="17"/>
      <c r="L139" s="17"/>
      <c r="M139" s="17"/>
      <c r="N139" s="17"/>
      <c r="O139" s="17"/>
    </row>
    <row r="140" spans="1:15" ht="15" customHeight="1">
      <c r="A140" s="1566"/>
      <c r="B140" s="1568"/>
      <c r="C140" s="771"/>
      <c r="D140" s="766" t="s">
        <v>846</v>
      </c>
      <c r="E140" s="458" t="s">
        <v>83</v>
      </c>
      <c r="F140" s="419"/>
      <c r="G140" s="1259">
        <f>'2.Stratigrafie'!$R$21</f>
        <v>0.15117690925050431</v>
      </c>
      <c r="H140" s="816">
        <f>'1.Dati'!Q94</f>
        <v>5.8049999999999997</v>
      </c>
      <c r="I140" s="784">
        <f t="shared" si="4"/>
        <v>0.88</v>
      </c>
      <c r="J140" s="784"/>
      <c r="K140" s="17"/>
      <c r="L140" s="17"/>
      <c r="M140" s="17"/>
      <c r="N140" s="17"/>
      <c r="O140" s="17"/>
    </row>
    <row r="141" spans="1:15" ht="15" customHeight="1">
      <c r="A141" s="1566"/>
      <c r="B141" s="1568"/>
      <c r="C141" s="772"/>
      <c r="D141" s="768" t="s">
        <v>836</v>
      </c>
      <c r="E141" s="458" t="s">
        <v>634</v>
      </c>
      <c r="F141" s="431"/>
      <c r="G141" s="785">
        <f>'2.Stratigrafie'!R96</f>
        <v>0.2327166892283167</v>
      </c>
      <c r="H141" s="816">
        <f>'1.Dati'!Q95</f>
        <v>14.82</v>
      </c>
      <c r="I141" s="784">
        <f t="shared" si="4"/>
        <v>3.45</v>
      </c>
      <c r="J141" s="785"/>
      <c r="K141" s="17"/>
      <c r="L141" s="17"/>
      <c r="M141" s="17"/>
      <c r="N141" s="17"/>
      <c r="O141" s="17"/>
    </row>
    <row r="142" spans="1:15" ht="15" customHeight="1">
      <c r="A142" s="1566"/>
      <c r="B142" s="1568"/>
      <c r="C142" s="771" t="s">
        <v>804</v>
      </c>
      <c r="D142" s="766" t="s">
        <v>847</v>
      </c>
      <c r="E142" s="456" t="s">
        <v>83</v>
      </c>
      <c r="F142" s="430"/>
      <c r="G142" s="1258">
        <f>'2.Stratigrafie'!$R$21</f>
        <v>0.15117690925050431</v>
      </c>
      <c r="H142" s="793">
        <f>'1.Dati'!Q96</f>
        <v>13.716000000000001</v>
      </c>
      <c r="I142" s="783">
        <f t="shared" si="4"/>
        <v>2.0699999999999998</v>
      </c>
      <c r="J142" s="784">
        <f>SUM(I142:I146)</f>
        <v>18.990000000000002</v>
      </c>
      <c r="K142" s="17"/>
      <c r="L142" s="17"/>
      <c r="M142" s="17"/>
      <c r="N142" s="17"/>
      <c r="O142" s="17"/>
    </row>
    <row r="143" spans="1:15" ht="15" customHeight="1">
      <c r="A143" s="1566"/>
      <c r="B143" s="1568"/>
      <c r="C143" s="771"/>
      <c r="D143" s="766" t="s">
        <v>848</v>
      </c>
      <c r="E143" s="458" t="s">
        <v>83</v>
      </c>
      <c r="F143" s="419"/>
      <c r="G143" s="1259">
        <f>'2.Stratigrafie'!$R$21</f>
        <v>0.15117690925050431</v>
      </c>
      <c r="H143" s="816">
        <f>'1.Dati'!Q97</f>
        <v>10.692</v>
      </c>
      <c r="I143" s="784">
        <f t="shared" si="4"/>
        <v>1.62</v>
      </c>
      <c r="J143" s="784"/>
      <c r="K143" s="17"/>
      <c r="L143" s="17"/>
      <c r="M143" s="17"/>
      <c r="N143" s="17"/>
      <c r="O143" s="17"/>
    </row>
    <row r="144" spans="1:15" ht="15" customHeight="1">
      <c r="A144" s="1566"/>
      <c r="B144" s="1568"/>
      <c r="C144" s="771"/>
      <c r="D144" s="766" t="s">
        <v>837</v>
      </c>
      <c r="E144" s="458" t="s">
        <v>634</v>
      </c>
      <c r="F144" s="419"/>
      <c r="G144" s="784">
        <f>'2.Stratigrafie'!R96</f>
        <v>0.2327166892283167</v>
      </c>
      <c r="H144" s="816">
        <f>'1.Dati'!Q98</f>
        <v>37.56</v>
      </c>
      <c r="I144" s="784">
        <f t="shared" si="4"/>
        <v>8.74</v>
      </c>
      <c r="J144" s="784"/>
      <c r="K144" s="17"/>
      <c r="L144" s="17"/>
      <c r="M144" s="17"/>
      <c r="N144" s="17"/>
      <c r="O144" s="17"/>
    </row>
    <row r="145" spans="1:15" ht="15" customHeight="1">
      <c r="A145" s="1566"/>
      <c r="B145" s="1568"/>
      <c r="C145" s="776"/>
      <c r="D145" s="766" t="s">
        <v>850</v>
      </c>
      <c r="E145" s="836" t="s">
        <v>856</v>
      </c>
      <c r="F145" s="419"/>
      <c r="G145" s="784">
        <f>'2.Stratigrafie'!R41</f>
        <v>0.31246355597199493</v>
      </c>
      <c r="H145" s="816">
        <f>'1.Dati'!Q99</f>
        <v>11.151</v>
      </c>
      <c r="I145" s="784">
        <f t="shared" si="4"/>
        <v>3.48</v>
      </c>
      <c r="J145" s="784"/>
      <c r="K145" s="17"/>
      <c r="L145" s="17"/>
      <c r="M145" s="17"/>
      <c r="N145" s="17"/>
      <c r="O145" s="17"/>
    </row>
    <row r="146" spans="1:15" ht="15" customHeight="1">
      <c r="A146" s="1566"/>
      <c r="B146" s="1568"/>
      <c r="C146" s="775"/>
      <c r="D146" s="768" t="s">
        <v>849</v>
      </c>
      <c r="E146" s="458" t="s">
        <v>632</v>
      </c>
      <c r="F146" s="419"/>
      <c r="G146" s="784">
        <f>'2.Stratigrafie'!R57</f>
        <v>1.3986013986013988</v>
      </c>
      <c r="H146" s="794">
        <f>'1.Dati'!Q100</f>
        <v>2.2000000000000002</v>
      </c>
      <c r="I146" s="785">
        <f t="shared" si="4"/>
        <v>3.08</v>
      </c>
      <c r="J146" s="784"/>
      <c r="K146" s="17"/>
      <c r="L146" s="17"/>
      <c r="M146" s="17"/>
      <c r="N146" s="17"/>
      <c r="O146" s="17"/>
    </row>
    <row r="147" spans="1:15" ht="15" customHeight="1">
      <c r="A147" s="1566"/>
      <c r="B147" s="1568"/>
      <c r="C147" s="774" t="s">
        <v>22</v>
      </c>
      <c r="D147" s="823" t="s">
        <v>851</v>
      </c>
      <c r="E147" s="836" t="s">
        <v>856</v>
      </c>
      <c r="F147" s="418"/>
      <c r="G147" s="783">
        <f>'2.Stratigrafie'!R41</f>
        <v>0.31246355597199493</v>
      </c>
      <c r="H147" s="816">
        <f>'1.Dati'!Q101</f>
        <v>1.62</v>
      </c>
      <c r="I147" s="784">
        <f t="shared" si="4"/>
        <v>0.51</v>
      </c>
      <c r="J147" s="783">
        <f>SUM(I147:I148)</f>
        <v>1.61</v>
      </c>
      <c r="K147" s="17"/>
      <c r="L147" s="17"/>
      <c r="M147" s="17"/>
      <c r="N147" s="17"/>
      <c r="O147" s="17"/>
    </row>
    <row r="148" spans="1:15" ht="15" customHeight="1">
      <c r="A148" s="1566"/>
      <c r="B148" s="1568"/>
      <c r="C148" s="775"/>
      <c r="D148" s="768" t="s">
        <v>838</v>
      </c>
      <c r="E148" s="459" t="s">
        <v>634</v>
      </c>
      <c r="F148" s="421"/>
      <c r="G148" s="785">
        <f>'2.Stratigrafie'!R96</f>
        <v>0.2327166892283167</v>
      </c>
      <c r="H148" s="816">
        <f>'1.Dati'!Q102</f>
        <v>4.734</v>
      </c>
      <c r="I148" s="784">
        <f t="shared" si="4"/>
        <v>1.1000000000000001</v>
      </c>
      <c r="J148" s="785"/>
      <c r="K148" s="17"/>
      <c r="L148" s="17"/>
      <c r="M148" s="17"/>
      <c r="N148" s="17"/>
      <c r="O148" s="17"/>
    </row>
    <row r="149" spans="1:15" ht="15" customHeight="1">
      <c r="A149" s="1566"/>
      <c r="B149" s="1568"/>
      <c r="C149" s="774" t="s">
        <v>803</v>
      </c>
      <c r="D149" s="765" t="s">
        <v>852</v>
      </c>
      <c r="E149" s="836" t="s">
        <v>856</v>
      </c>
      <c r="F149" s="419"/>
      <c r="G149" s="784">
        <f>'2.Stratigrafie'!R41</f>
        <v>0.31246355597199493</v>
      </c>
      <c r="H149" s="793">
        <f>'1.Dati'!Q103</f>
        <v>4.0500000000000007</v>
      </c>
      <c r="I149" s="783">
        <f t="shared" si="4"/>
        <v>1.27</v>
      </c>
      <c r="J149" s="784">
        <f>SUM(I149:I151)</f>
        <v>3.2299999999999995</v>
      </c>
      <c r="K149" s="17"/>
      <c r="L149" s="17"/>
      <c r="M149" s="17"/>
      <c r="N149" s="17"/>
      <c r="O149" s="17"/>
    </row>
    <row r="150" spans="1:15" ht="15" customHeight="1">
      <c r="A150" s="1566"/>
      <c r="B150" s="1568"/>
      <c r="C150" s="776"/>
      <c r="D150" s="766" t="s">
        <v>851</v>
      </c>
      <c r="E150" s="836" t="s">
        <v>856</v>
      </c>
      <c r="F150" s="419"/>
      <c r="G150" s="784">
        <f>'2.Stratigrafie'!R41</f>
        <v>0.31246355597199493</v>
      </c>
      <c r="H150" s="816">
        <f>'1.Dati'!Q104</f>
        <v>4.5090000000000003</v>
      </c>
      <c r="I150" s="784">
        <f t="shared" si="4"/>
        <v>1.41</v>
      </c>
      <c r="J150" s="784"/>
      <c r="K150" s="17"/>
      <c r="L150" s="17"/>
      <c r="M150" s="17"/>
      <c r="N150" s="17"/>
      <c r="O150" s="17"/>
    </row>
    <row r="151" spans="1:15" ht="15" customHeight="1">
      <c r="A151" s="1566"/>
      <c r="B151" s="1568"/>
      <c r="C151" s="775"/>
      <c r="D151" s="768" t="s">
        <v>839</v>
      </c>
      <c r="E151" s="458" t="s">
        <v>634</v>
      </c>
      <c r="F151" s="419"/>
      <c r="G151" s="784">
        <f>'2.Stratigrafie'!R96</f>
        <v>0.2327166892283167</v>
      </c>
      <c r="H151" s="794">
        <f>'1.Dati'!Q105</f>
        <v>2.38</v>
      </c>
      <c r="I151" s="785">
        <f t="shared" si="4"/>
        <v>0.55000000000000004</v>
      </c>
      <c r="J151" s="784"/>
      <c r="K151" s="17"/>
      <c r="L151" s="17"/>
      <c r="M151" s="17"/>
      <c r="N151" s="17"/>
      <c r="O151" s="17"/>
    </row>
    <row r="152" spans="1:15" ht="15" customHeight="1">
      <c r="A152" s="1566"/>
      <c r="B152" s="1568"/>
      <c r="C152" s="774" t="s">
        <v>802</v>
      </c>
      <c r="D152" s="765" t="s">
        <v>853</v>
      </c>
      <c r="E152" s="456" t="s">
        <v>83</v>
      </c>
      <c r="F152" s="430"/>
      <c r="G152" s="1258">
        <f>'2.Stratigrafie'!$R$21</f>
        <v>0.15117690925050431</v>
      </c>
      <c r="H152" s="816">
        <f>'1.Dati'!Q106</f>
        <v>9.4500000000000011</v>
      </c>
      <c r="I152" s="784">
        <f t="shared" si="4"/>
        <v>1.43</v>
      </c>
      <c r="J152" s="783">
        <f>SUM(I152:I153)</f>
        <v>5.05</v>
      </c>
      <c r="K152" s="17"/>
      <c r="L152" s="17"/>
      <c r="M152" s="17"/>
      <c r="N152" s="17"/>
      <c r="O152" s="17"/>
    </row>
    <row r="153" spans="1:15" ht="15" customHeight="1">
      <c r="A153" s="1566"/>
      <c r="B153" s="1568"/>
      <c r="C153" s="775"/>
      <c r="D153" s="768" t="s">
        <v>840</v>
      </c>
      <c r="E153" s="458" t="s">
        <v>634</v>
      </c>
      <c r="F153" s="431"/>
      <c r="G153" s="785">
        <f>'2.Stratigrafie'!R96</f>
        <v>0.2327166892283167</v>
      </c>
      <c r="H153" s="816">
        <f>'1.Dati'!Q107</f>
        <v>15.575000000000001</v>
      </c>
      <c r="I153" s="784">
        <f t="shared" si="4"/>
        <v>3.62</v>
      </c>
      <c r="J153" s="785"/>
      <c r="K153" s="17"/>
      <c r="L153" s="17"/>
      <c r="M153" s="17"/>
      <c r="N153" s="17"/>
      <c r="O153" s="17"/>
    </row>
    <row r="154" spans="1:15" ht="15" customHeight="1">
      <c r="A154" s="1566"/>
      <c r="B154" s="1568"/>
      <c r="C154" s="774" t="s">
        <v>587</v>
      </c>
      <c r="D154" s="765" t="s">
        <v>602</v>
      </c>
      <c r="E154" s="456" t="s">
        <v>83</v>
      </c>
      <c r="F154" s="430"/>
      <c r="G154" s="1258">
        <f>'2.Stratigrafie'!$R$21</f>
        <v>0.15117690925050431</v>
      </c>
      <c r="H154" s="793">
        <f>'1.Dati'!Q108</f>
        <v>5.4</v>
      </c>
      <c r="I154" s="783">
        <f t="shared" si="4"/>
        <v>0.82</v>
      </c>
      <c r="J154" s="784">
        <f>SUM(I154:I155)</f>
        <v>2.1</v>
      </c>
      <c r="K154" s="17"/>
      <c r="L154" s="17"/>
      <c r="M154" s="17"/>
      <c r="N154" s="17"/>
      <c r="O154" s="17"/>
    </row>
    <row r="155" spans="1:15" ht="15" customHeight="1">
      <c r="A155" s="1566"/>
      <c r="B155" s="1568"/>
      <c r="C155" s="775"/>
      <c r="D155" s="768" t="s">
        <v>839</v>
      </c>
      <c r="E155" s="458" t="s">
        <v>634</v>
      </c>
      <c r="F155" s="419"/>
      <c r="G155" s="784">
        <f>'2.Stratigrafie'!R96</f>
        <v>0.2327166892283167</v>
      </c>
      <c r="H155" s="794">
        <f>'1.Dati'!Q109</f>
        <v>5.52</v>
      </c>
      <c r="I155" s="785">
        <f t="shared" si="4"/>
        <v>1.28</v>
      </c>
      <c r="J155" s="784"/>
      <c r="K155" s="17"/>
      <c r="L155" s="17"/>
      <c r="M155" s="17"/>
      <c r="N155" s="17"/>
      <c r="O155" s="17"/>
    </row>
    <row r="156" spans="1:15" ht="15" customHeight="1">
      <c r="A156" s="1566"/>
      <c r="B156" s="1568"/>
      <c r="C156" s="774" t="s">
        <v>20</v>
      </c>
      <c r="D156" s="765" t="s">
        <v>598</v>
      </c>
      <c r="E156" s="456" t="s">
        <v>83</v>
      </c>
      <c r="F156" s="430"/>
      <c r="G156" s="1258">
        <f>'2.Stratigrafie'!$R$21</f>
        <v>0.15117690925050431</v>
      </c>
      <c r="H156" s="816">
        <f>'1.Dati'!Q110</f>
        <v>9.5850000000000009</v>
      </c>
      <c r="I156" s="784">
        <f t="shared" si="4"/>
        <v>1.45</v>
      </c>
      <c r="J156" s="783">
        <f>SUM(I156:I158)</f>
        <v>6.12</v>
      </c>
      <c r="K156" s="17"/>
      <c r="L156" s="17"/>
      <c r="M156" s="17"/>
      <c r="N156" s="17"/>
      <c r="O156" s="17"/>
    </row>
    <row r="157" spans="1:15" ht="15" customHeight="1">
      <c r="A157" s="1566"/>
      <c r="B157" s="1568"/>
      <c r="C157" s="777"/>
      <c r="D157" s="766" t="s">
        <v>601</v>
      </c>
      <c r="E157" s="458" t="s">
        <v>83</v>
      </c>
      <c r="F157" s="419"/>
      <c r="G157" s="1259">
        <f>'2.Stratigrafie'!$R$21</f>
        <v>0.15117690925050431</v>
      </c>
      <c r="H157" s="816">
        <f>'1.Dati'!Q111</f>
        <v>9.9360000000000017</v>
      </c>
      <c r="I157" s="784">
        <f t="shared" si="4"/>
        <v>1.5</v>
      </c>
      <c r="J157" s="784"/>
      <c r="K157" s="17"/>
      <c r="L157" s="17"/>
      <c r="M157" s="17"/>
      <c r="N157" s="17"/>
      <c r="O157" s="17"/>
    </row>
    <row r="158" spans="1:15" ht="15" customHeight="1">
      <c r="A158" s="1566"/>
      <c r="B158" s="1568"/>
      <c r="C158" s="778"/>
      <c r="D158" s="768" t="s">
        <v>635</v>
      </c>
      <c r="E158" s="458" t="s">
        <v>634</v>
      </c>
      <c r="F158" s="431"/>
      <c r="G158" s="785">
        <f>'2.Stratigrafie'!R96</f>
        <v>0.2327166892283167</v>
      </c>
      <c r="H158" s="816">
        <f>'1.Dati'!Q112</f>
        <v>13.64</v>
      </c>
      <c r="I158" s="784">
        <f t="shared" si="4"/>
        <v>3.17</v>
      </c>
      <c r="J158" s="785"/>
      <c r="K158" s="17"/>
      <c r="L158" s="17"/>
      <c r="M158" s="17"/>
      <c r="N158" s="17"/>
      <c r="O158" s="17"/>
    </row>
    <row r="159" spans="1:15" ht="15" customHeight="1">
      <c r="A159" s="1566"/>
      <c r="B159" s="1568"/>
      <c r="C159" s="774" t="s">
        <v>586</v>
      </c>
      <c r="D159" s="766" t="s">
        <v>597</v>
      </c>
      <c r="E159" s="456" t="s">
        <v>83</v>
      </c>
      <c r="F159" s="430"/>
      <c r="G159" s="1258">
        <f>'2.Stratigrafie'!$R$21</f>
        <v>0.15117690925050431</v>
      </c>
      <c r="H159" s="793">
        <f>'1.Dati'!Q113</f>
        <v>7.7220000000000004</v>
      </c>
      <c r="I159" s="783">
        <f t="shared" si="4"/>
        <v>1.17</v>
      </c>
      <c r="J159" s="784">
        <f>SUM(I159:I160)</f>
        <v>2.5599999999999996</v>
      </c>
      <c r="K159" s="17"/>
      <c r="L159" s="17"/>
      <c r="M159" s="17"/>
      <c r="N159" s="17"/>
      <c r="O159" s="17"/>
    </row>
    <row r="160" spans="1:15" ht="15" customHeight="1">
      <c r="A160" s="1566"/>
      <c r="B160" s="1568"/>
      <c r="C160" s="778"/>
      <c r="D160" s="768" t="s">
        <v>842</v>
      </c>
      <c r="E160" s="458" t="s">
        <v>634</v>
      </c>
      <c r="F160" s="419"/>
      <c r="G160" s="784">
        <f>'2.Stratigrafie'!R96</f>
        <v>0.2327166892283167</v>
      </c>
      <c r="H160" s="794">
        <f>'1.Dati'!Q114</f>
        <v>5.9773999999999994</v>
      </c>
      <c r="I160" s="785">
        <f t="shared" si="4"/>
        <v>1.39</v>
      </c>
      <c r="J160" s="784"/>
      <c r="K160" s="17"/>
      <c r="L160" s="17"/>
      <c r="M160" s="17"/>
      <c r="N160" s="17"/>
      <c r="O160" s="17"/>
    </row>
    <row r="161" spans="1:15" ht="15" customHeight="1">
      <c r="A161" s="1566"/>
      <c r="B161" s="1568"/>
      <c r="C161" s="774" t="s">
        <v>19</v>
      </c>
      <c r="D161" s="765" t="s">
        <v>596</v>
      </c>
      <c r="E161" s="456" t="s">
        <v>83</v>
      </c>
      <c r="F161" s="418"/>
      <c r="G161" s="1258">
        <f>'2.Stratigrafie'!$R$21</f>
        <v>0.15117690925050431</v>
      </c>
      <c r="H161" s="816">
        <f>'1.Dati'!Q115</f>
        <v>8.6669999999999998</v>
      </c>
      <c r="I161" s="784">
        <f t="shared" si="4"/>
        <v>1.31</v>
      </c>
      <c r="J161" s="783">
        <f>SUM(I161:I163)</f>
        <v>9.4600000000000009</v>
      </c>
      <c r="K161" s="17"/>
      <c r="L161" s="17"/>
      <c r="M161" s="17"/>
      <c r="N161" s="17"/>
      <c r="O161" s="17"/>
    </row>
    <row r="162" spans="1:15" ht="15" customHeight="1">
      <c r="A162" s="1566"/>
      <c r="B162" s="1568"/>
      <c r="C162" s="777"/>
      <c r="D162" s="766" t="s">
        <v>823</v>
      </c>
      <c r="E162" s="836" t="s">
        <v>856</v>
      </c>
      <c r="F162" s="420"/>
      <c r="G162" s="784">
        <f>'2.Stratigrafie'!R41</f>
        <v>0.31246355597199493</v>
      </c>
      <c r="H162" s="816">
        <f>'1.Dati'!Q116</f>
        <v>11.07</v>
      </c>
      <c r="I162" s="784">
        <f t="shared" si="4"/>
        <v>3.46</v>
      </c>
      <c r="J162" s="784"/>
      <c r="K162" s="17"/>
      <c r="L162" s="17"/>
      <c r="M162" s="17"/>
      <c r="N162" s="17"/>
      <c r="O162" s="17"/>
    </row>
    <row r="163" spans="1:15" ht="15" customHeight="1">
      <c r="A163" s="1566"/>
      <c r="B163" s="1568"/>
      <c r="C163" s="778"/>
      <c r="D163" s="768" t="s">
        <v>636</v>
      </c>
      <c r="E163" s="459" t="s">
        <v>634</v>
      </c>
      <c r="F163" s="421"/>
      <c r="G163" s="785">
        <f>'2.Stratigrafie'!R96</f>
        <v>0.2327166892283167</v>
      </c>
      <c r="H163" s="794">
        <f>'1.Dati'!Q117</f>
        <v>20.149999999999999</v>
      </c>
      <c r="I163" s="785">
        <f t="shared" si="4"/>
        <v>4.6900000000000004</v>
      </c>
      <c r="J163" s="785"/>
      <c r="K163" s="17"/>
      <c r="L163" s="17"/>
      <c r="M163" s="17"/>
      <c r="N163" s="17"/>
      <c r="O163" s="17"/>
    </row>
    <row r="164" spans="1:15" ht="15" customHeight="1">
      <c r="A164" s="1566"/>
      <c r="B164" s="1568"/>
      <c r="C164" s="925" t="s">
        <v>588</v>
      </c>
      <c r="D164" s="110" t="s">
        <v>875</v>
      </c>
      <c r="E164" s="936" t="s">
        <v>856</v>
      </c>
      <c r="F164" s="928"/>
      <c r="G164" s="899">
        <f>'2.Stratigrafie'!R41</f>
        <v>0.31246355597199493</v>
      </c>
      <c r="H164" s="911">
        <f>'1.Dati'!Q118</f>
        <v>2.9700000000000006</v>
      </c>
      <c r="I164" s="899">
        <f t="shared" ref="I164:I165" si="6">ROUND(G164*H164,2)</f>
        <v>0.93</v>
      </c>
      <c r="J164" s="899">
        <f>SUM(I164:I165)</f>
        <v>4.3499999999999996</v>
      </c>
      <c r="K164" s="17"/>
      <c r="L164" s="17"/>
      <c r="M164" s="17"/>
      <c r="N164" s="17"/>
      <c r="O164" s="17"/>
    </row>
    <row r="165" spans="1:15" ht="15" customHeight="1">
      <c r="A165" s="1566"/>
      <c r="B165" s="1568"/>
      <c r="C165" s="865"/>
      <c r="D165" s="915" t="s">
        <v>873</v>
      </c>
      <c r="E165" s="929" t="s">
        <v>876</v>
      </c>
      <c r="F165" s="930"/>
      <c r="G165" s="901">
        <f>'2.Stratigrafie'!R77</f>
        <v>0.33849198322646729</v>
      </c>
      <c r="H165" s="913">
        <f>'1.Dati'!Q119</f>
        <v>10.1</v>
      </c>
      <c r="I165" s="901">
        <f t="shared" si="6"/>
        <v>3.42</v>
      </c>
      <c r="J165" s="901"/>
      <c r="K165" s="17"/>
      <c r="L165" s="17"/>
      <c r="M165" s="17"/>
      <c r="N165" s="17"/>
      <c r="O165" s="17"/>
    </row>
    <row r="166" spans="1:15" ht="15" customHeight="1">
      <c r="A166" s="9"/>
      <c r="B166" s="560"/>
      <c r="C166" s="521"/>
      <c r="D166" s="767"/>
      <c r="E166" s="457"/>
      <c r="F166" s="419"/>
      <c r="G166" s="138"/>
      <c r="H166" s="145"/>
      <c r="I166" s="138"/>
      <c r="J166" s="138"/>
      <c r="K166" s="17"/>
      <c r="L166" s="17"/>
      <c r="M166" s="17"/>
      <c r="N166" s="17"/>
      <c r="O166" s="17"/>
    </row>
    <row r="167" spans="1:15" ht="15" customHeight="1">
      <c r="A167" s="9"/>
      <c r="B167" s="560"/>
      <c r="C167" s="521"/>
      <c r="D167" s="767"/>
      <c r="E167" s="457"/>
      <c r="F167" s="419"/>
      <c r="G167" s="138"/>
      <c r="H167" s="145"/>
      <c r="I167" s="138"/>
      <c r="J167" s="138"/>
      <c r="K167" s="17"/>
      <c r="L167" s="17"/>
      <c r="M167" s="17"/>
      <c r="N167" s="17"/>
      <c r="O167" s="17"/>
    </row>
    <row r="168" spans="1:15" ht="15" customHeight="1">
      <c r="A168" s="9"/>
      <c r="B168" s="560"/>
      <c r="C168" s="521"/>
      <c r="D168" s="767"/>
      <c r="E168" s="457"/>
      <c r="F168" s="419"/>
      <c r="G168" s="138"/>
      <c r="H168" s="145"/>
      <c r="I168" s="138"/>
      <c r="J168" s="138"/>
      <c r="K168" s="17"/>
      <c r="L168" s="17"/>
      <c r="M168" s="17"/>
      <c r="N168" s="17"/>
      <c r="O168" s="17"/>
    </row>
    <row r="169" spans="1:15" ht="15" customHeight="1">
      <c r="A169" s="9"/>
      <c r="B169" s="560"/>
      <c r="C169" s="521"/>
      <c r="D169" s="767"/>
      <c r="E169" s="457"/>
      <c r="F169" s="419"/>
      <c r="G169" s="138"/>
      <c r="H169" s="145"/>
      <c r="I169" s="138"/>
      <c r="J169" s="138"/>
      <c r="K169" s="17"/>
      <c r="L169" s="17"/>
      <c r="M169" s="17"/>
      <c r="N169" s="17"/>
      <c r="O169" s="17"/>
    </row>
    <row r="170" spans="1:15" ht="15" customHeight="1">
      <c r="A170" s="9"/>
      <c r="B170" s="560"/>
      <c r="C170" s="521"/>
      <c r="D170" s="767"/>
      <c r="E170" s="457"/>
      <c r="F170" s="419"/>
      <c r="G170" s="138"/>
      <c r="H170" s="145"/>
      <c r="I170" s="138"/>
      <c r="J170" s="138"/>
      <c r="K170" s="17"/>
      <c r="L170" s="17"/>
      <c r="M170" s="17"/>
      <c r="N170" s="17"/>
      <c r="O170" s="17"/>
    </row>
    <row r="171" spans="1:15">
      <c r="A171" s="150" t="s">
        <v>0</v>
      </c>
      <c r="B171" s="1402" t="s">
        <v>566</v>
      </c>
      <c r="C171" s="1403"/>
      <c r="D171" s="1403"/>
      <c r="E171" s="1404"/>
      <c r="F171" s="1508"/>
      <c r="G171" s="1402" t="s">
        <v>567</v>
      </c>
      <c r="H171" s="1403"/>
      <c r="I171" s="1403"/>
      <c r="J171" s="1403"/>
      <c r="K171" s="1404"/>
      <c r="L171" s="1352" t="s">
        <v>5</v>
      </c>
      <c r="M171" s="1353"/>
      <c r="N171" s="1352" t="s">
        <v>6</v>
      </c>
      <c r="O171" s="1353"/>
    </row>
    <row r="172" spans="1:15" ht="23.25" customHeight="1">
      <c r="A172" s="47">
        <v>3</v>
      </c>
      <c r="B172" s="1511" t="s">
        <v>132</v>
      </c>
      <c r="C172" s="1512"/>
      <c r="D172" s="1512"/>
      <c r="E172" s="1513"/>
      <c r="F172" s="1509"/>
      <c r="G172" s="1414" t="s">
        <v>568</v>
      </c>
      <c r="H172" s="1415"/>
      <c r="I172" s="1415"/>
      <c r="J172" s="1415"/>
      <c r="K172" s="1416"/>
      <c r="L172" s="1391" t="str">
        <f>'1.Dati'!L2:M2</f>
        <v>Prof. R. RICCIU</v>
      </c>
      <c r="M172" s="1392"/>
      <c r="N172" s="1391" t="str">
        <f>N2</f>
        <v>X</v>
      </c>
      <c r="O172" s="1392"/>
    </row>
    <row r="173" spans="1:15">
      <c r="A173" s="48" t="s">
        <v>63</v>
      </c>
      <c r="B173" s="1514"/>
      <c r="C173" s="1515"/>
      <c r="D173" s="1515"/>
      <c r="E173" s="1516"/>
      <c r="F173" s="1510"/>
      <c r="G173" s="1354" t="str">
        <f>'1.Dati'!G3:K3</f>
        <v>LAB. INTEGR. DI PROG. TECN. (TERMOFISICA DELL'EDIFICIO) a.a. 2019/2020</v>
      </c>
      <c r="H173" s="1355"/>
      <c r="I173" s="1355"/>
      <c r="J173" s="1355"/>
      <c r="K173" s="1356"/>
      <c r="L173" s="1357" t="s">
        <v>1028</v>
      </c>
      <c r="M173" s="1358"/>
      <c r="N173" s="1357" t="str">
        <f>N3</f>
        <v>Y</v>
      </c>
      <c r="O173" s="1358"/>
    </row>
    <row r="176" spans="1:15" ht="15" customHeight="1">
      <c r="A176" s="1500" t="s">
        <v>124</v>
      </c>
      <c r="B176" s="1501"/>
      <c r="C176" s="112" t="s">
        <v>25</v>
      </c>
      <c r="D176" s="786" t="s">
        <v>125</v>
      </c>
      <c r="E176" s="819" t="s">
        <v>126</v>
      </c>
      <c r="F176" s="786" t="s">
        <v>80</v>
      </c>
      <c r="G176" s="792"/>
      <c r="H176" s="787"/>
    </row>
    <row r="177" spans="1:15" ht="18" customHeight="1">
      <c r="A177" s="1500"/>
      <c r="B177" s="1501"/>
      <c r="C177" s="1504" t="s">
        <v>24</v>
      </c>
      <c r="D177" s="173" t="s">
        <v>129</v>
      </c>
      <c r="E177" s="173" t="s">
        <v>616</v>
      </c>
      <c r="F177" s="802" t="s">
        <v>131</v>
      </c>
      <c r="G177" s="803"/>
      <c r="H177" s="804"/>
    </row>
    <row r="178" spans="1:15" ht="15" customHeight="1">
      <c r="A178" s="1502" t="s">
        <v>219</v>
      </c>
      <c r="B178" s="1503"/>
      <c r="C178" s="1505"/>
      <c r="D178" s="174" t="s">
        <v>75</v>
      </c>
      <c r="E178" s="815" t="s">
        <v>75</v>
      </c>
      <c r="F178" s="810" t="s">
        <v>75</v>
      </c>
      <c r="G178" s="806"/>
      <c r="H178" s="807"/>
    </row>
    <row r="179" spans="1:15" ht="15" customHeight="1">
      <c r="A179" s="1484" t="s">
        <v>34</v>
      </c>
      <c r="B179" s="1481" t="s">
        <v>809</v>
      </c>
      <c r="C179" s="774" t="s">
        <v>9</v>
      </c>
      <c r="D179" s="808">
        <f>J8</f>
        <v>7.25</v>
      </c>
      <c r="E179" s="793">
        <f>D179*0.1</f>
        <v>0.72500000000000009</v>
      </c>
      <c r="F179" s="800">
        <f>D179+E179</f>
        <v>7.9749999999999996</v>
      </c>
      <c r="G179" s="783">
        <f>SUM(F179:F188)</f>
        <v>78.72699999999999</v>
      </c>
      <c r="H179" s="783">
        <f>G179+G189+G199+G209+G219+G229</f>
        <v>348.97499999999997</v>
      </c>
    </row>
    <row r="180" spans="1:15">
      <c r="A180" s="1485"/>
      <c r="B180" s="1482"/>
      <c r="C180" s="776" t="s">
        <v>804</v>
      </c>
      <c r="D180" s="218">
        <f>J11</f>
        <v>22.96</v>
      </c>
      <c r="E180" s="816">
        <f t="shared" ref="E180:E237" si="7">D180*0.1</f>
        <v>2.2960000000000003</v>
      </c>
      <c r="F180" s="800">
        <f>D180+E180</f>
        <v>25.256</v>
      </c>
      <c r="G180" s="784"/>
      <c r="H180" s="784"/>
    </row>
    <row r="181" spans="1:15">
      <c r="A181" s="1485"/>
      <c r="B181" s="1482"/>
      <c r="C181" s="776" t="s">
        <v>22</v>
      </c>
      <c r="D181" s="218">
        <f>J16</f>
        <v>2.1100000000000003</v>
      </c>
      <c r="E181" s="816">
        <f t="shared" si="7"/>
        <v>0.21100000000000005</v>
      </c>
      <c r="F181" s="800">
        <f t="shared" ref="F181:F204" si="8">D181+E181</f>
        <v>2.3210000000000002</v>
      </c>
      <c r="G181" s="784"/>
      <c r="H181" s="784"/>
    </row>
    <row r="182" spans="1:15">
      <c r="A182" s="1485"/>
      <c r="B182" s="1482"/>
      <c r="C182" s="776" t="s">
        <v>803</v>
      </c>
      <c r="D182" s="218">
        <f>J18</f>
        <v>3.1599999999999997</v>
      </c>
      <c r="E182" s="816">
        <f t="shared" si="7"/>
        <v>0.316</v>
      </c>
      <c r="F182" s="800">
        <f t="shared" si="8"/>
        <v>3.4759999999999995</v>
      </c>
      <c r="G182" s="784"/>
      <c r="H182" s="784"/>
    </row>
    <row r="183" spans="1:15">
      <c r="A183" s="1485"/>
      <c r="B183" s="1482"/>
      <c r="C183" s="776" t="s">
        <v>802</v>
      </c>
      <c r="D183" s="218">
        <f>J21</f>
        <v>6.6999999999999993</v>
      </c>
      <c r="E183" s="816">
        <f t="shared" si="7"/>
        <v>0.66999999999999993</v>
      </c>
      <c r="F183" s="800">
        <f t="shared" si="8"/>
        <v>7.3699999999999992</v>
      </c>
      <c r="G183" s="784"/>
      <c r="H183" s="784"/>
    </row>
    <row r="184" spans="1:15">
      <c r="A184" s="1485"/>
      <c r="B184" s="1482"/>
      <c r="C184" s="776" t="s">
        <v>587</v>
      </c>
      <c r="D184" s="218">
        <f>J23</f>
        <v>2.69</v>
      </c>
      <c r="E184" s="816">
        <f t="shared" si="7"/>
        <v>0.26900000000000002</v>
      </c>
      <c r="F184" s="800">
        <f t="shared" si="8"/>
        <v>2.9590000000000001</v>
      </c>
      <c r="G184" s="784"/>
      <c r="H184" s="784"/>
    </row>
    <row r="185" spans="1:15">
      <c r="A185" s="1485"/>
      <c r="B185" s="1482"/>
      <c r="C185" s="776" t="s">
        <v>20</v>
      </c>
      <c r="D185" s="218">
        <f>J25</f>
        <v>7.57</v>
      </c>
      <c r="E185" s="816">
        <f t="shared" si="7"/>
        <v>0.75700000000000012</v>
      </c>
      <c r="F185" s="800">
        <f t="shared" si="8"/>
        <v>8.327</v>
      </c>
      <c r="G185" s="784"/>
      <c r="H185" s="784"/>
    </row>
    <row r="186" spans="1:15">
      <c r="A186" s="1485"/>
      <c r="B186" s="1482"/>
      <c r="C186" s="776" t="s">
        <v>586</v>
      </c>
      <c r="D186" s="218">
        <f>J28</f>
        <v>3.19</v>
      </c>
      <c r="E186" s="816">
        <f t="shared" si="7"/>
        <v>0.31900000000000001</v>
      </c>
      <c r="F186" s="800">
        <f t="shared" si="8"/>
        <v>3.5089999999999999</v>
      </c>
      <c r="G186" s="784"/>
      <c r="H186" s="784"/>
      <c r="L186" s="560"/>
      <c r="M186" s="560"/>
      <c r="N186" s="560"/>
      <c r="O186" s="560"/>
    </row>
    <row r="187" spans="1:15">
      <c r="A187" s="1485"/>
      <c r="B187" s="1482"/>
      <c r="C187" s="776" t="s">
        <v>19</v>
      </c>
      <c r="D187" s="900">
        <f>J30</f>
        <v>11.59</v>
      </c>
      <c r="E187" s="816">
        <f t="shared" si="7"/>
        <v>1.159</v>
      </c>
      <c r="F187" s="800">
        <f>D187+E187</f>
        <v>12.749000000000001</v>
      </c>
      <c r="G187" s="784"/>
      <c r="H187" s="784"/>
      <c r="L187" s="560"/>
      <c r="M187" s="560"/>
      <c r="N187" s="560"/>
      <c r="O187" s="560"/>
    </row>
    <row r="188" spans="1:15">
      <c r="A188" s="1485"/>
      <c r="B188" s="1483"/>
      <c r="C188" s="903" t="s">
        <v>588</v>
      </c>
      <c r="D188" s="901">
        <f>J33</f>
        <v>4.3499999999999996</v>
      </c>
      <c r="E188" s="913">
        <f t="shared" ref="E188" si="9">D188*0.1</f>
        <v>0.435</v>
      </c>
      <c r="F188" s="801">
        <f t="shared" ref="F188" si="10">D188+E188</f>
        <v>4.7849999999999993</v>
      </c>
      <c r="G188" s="901"/>
      <c r="H188" s="901"/>
      <c r="L188" s="560"/>
      <c r="M188" s="560"/>
      <c r="N188" s="560"/>
      <c r="O188" s="560"/>
    </row>
    <row r="189" spans="1:15" ht="15" customHeight="1">
      <c r="A189" s="1485"/>
      <c r="B189" s="1487" t="s">
        <v>810</v>
      </c>
      <c r="C189" s="902" t="s">
        <v>9</v>
      </c>
      <c r="D189" s="218">
        <f>J35</f>
        <v>7.25</v>
      </c>
      <c r="E189" s="912">
        <f t="shared" ref="E189:E197" si="11">D189*0.1</f>
        <v>0.72500000000000009</v>
      </c>
      <c r="F189" s="800">
        <f t="shared" ref="F189:F197" si="12">D189+E189</f>
        <v>7.9749999999999996</v>
      </c>
      <c r="G189" s="900">
        <f>SUM(F189:F198)</f>
        <v>79.089999999999989</v>
      </c>
      <c r="H189" s="784"/>
      <c r="L189" s="560"/>
      <c r="M189" s="560"/>
      <c r="N189" s="560"/>
      <c r="O189" s="560"/>
    </row>
    <row r="190" spans="1:15">
      <c r="A190" s="1485"/>
      <c r="B190" s="1488"/>
      <c r="C190" s="776" t="s">
        <v>804</v>
      </c>
      <c r="D190" s="218">
        <f>J38</f>
        <v>22.96</v>
      </c>
      <c r="E190" s="816">
        <f t="shared" si="11"/>
        <v>2.2960000000000003</v>
      </c>
      <c r="F190" s="800">
        <f t="shared" si="12"/>
        <v>25.256</v>
      </c>
      <c r="G190" s="784"/>
      <c r="H190" s="784"/>
      <c r="L190" s="560"/>
      <c r="M190" s="560"/>
      <c r="N190" s="560"/>
      <c r="O190" s="560"/>
    </row>
    <row r="191" spans="1:15">
      <c r="A191" s="1485"/>
      <c r="B191" s="1488"/>
      <c r="C191" s="776" t="s">
        <v>22</v>
      </c>
      <c r="D191" s="218">
        <f>J43</f>
        <v>2.1100000000000003</v>
      </c>
      <c r="E191" s="816">
        <f t="shared" si="11"/>
        <v>0.21100000000000005</v>
      </c>
      <c r="F191" s="800">
        <f t="shared" si="12"/>
        <v>2.3210000000000002</v>
      </c>
      <c r="G191" s="784"/>
      <c r="H191" s="784"/>
      <c r="L191" s="560"/>
      <c r="M191" s="560"/>
      <c r="N191" s="560"/>
      <c r="O191" s="560"/>
    </row>
    <row r="192" spans="1:15">
      <c r="A192" s="1485"/>
      <c r="B192" s="1488"/>
      <c r="C192" s="776" t="s">
        <v>803</v>
      </c>
      <c r="D192" s="218">
        <f>J45</f>
        <v>3.4899999999999998</v>
      </c>
      <c r="E192" s="816">
        <f t="shared" si="11"/>
        <v>0.34899999999999998</v>
      </c>
      <c r="F192" s="800">
        <f t="shared" si="12"/>
        <v>3.8389999999999995</v>
      </c>
      <c r="G192" s="784"/>
      <c r="H192" s="784"/>
      <c r="L192" s="560"/>
      <c r="M192" s="560"/>
      <c r="N192" s="560"/>
      <c r="O192" s="560"/>
    </row>
    <row r="193" spans="1:15">
      <c r="A193" s="1485"/>
      <c r="B193" s="1488"/>
      <c r="C193" s="776" t="s">
        <v>802</v>
      </c>
      <c r="D193" s="218">
        <f>J48</f>
        <v>6.6999999999999993</v>
      </c>
      <c r="E193" s="816">
        <f t="shared" si="11"/>
        <v>0.66999999999999993</v>
      </c>
      <c r="F193" s="800">
        <f t="shared" si="12"/>
        <v>7.3699999999999992</v>
      </c>
      <c r="G193" s="784"/>
      <c r="H193" s="784"/>
      <c r="L193" s="560"/>
      <c r="M193" s="560"/>
      <c r="N193" s="560"/>
      <c r="O193" s="560"/>
    </row>
    <row r="194" spans="1:15">
      <c r="A194" s="1485"/>
      <c r="B194" s="1488"/>
      <c r="C194" s="776" t="s">
        <v>587</v>
      </c>
      <c r="D194" s="218">
        <f>J50</f>
        <v>2.69</v>
      </c>
      <c r="E194" s="816">
        <f t="shared" si="11"/>
        <v>0.26900000000000002</v>
      </c>
      <c r="F194" s="800">
        <f t="shared" si="12"/>
        <v>2.9590000000000001</v>
      </c>
      <c r="G194" s="784"/>
      <c r="H194" s="784"/>
      <c r="L194" s="560"/>
      <c r="M194" s="560"/>
      <c r="N194" s="560"/>
      <c r="O194" s="560"/>
    </row>
    <row r="195" spans="1:15">
      <c r="A195" s="1485"/>
      <c r="B195" s="1488"/>
      <c r="C195" s="776" t="s">
        <v>20</v>
      </c>
      <c r="D195" s="218">
        <f>J52</f>
        <v>7.57</v>
      </c>
      <c r="E195" s="816">
        <f t="shared" si="11"/>
        <v>0.75700000000000012</v>
      </c>
      <c r="F195" s="800">
        <f t="shared" si="12"/>
        <v>8.327</v>
      </c>
      <c r="G195" s="784"/>
      <c r="H195" s="784"/>
      <c r="L195" s="560"/>
      <c r="M195" s="560"/>
      <c r="N195" s="560"/>
      <c r="O195" s="560"/>
    </row>
    <row r="196" spans="1:15">
      <c r="A196" s="1485"/>
      <c r="B196" s="1488"/>
      <c r="C196" s="776" t="s">
        <v>586</v>
      </c>
      <c r="D196" s="218">
        <f>J55</f>
        <v>3.19</v>
      </c>
      <c r="E196" s="816">
        <f t="shared" si="11"/>
        <v>0.31900000000000001</v>
      </c>
      <c r="F196" s="800">
        <f t="shared" si="12"/>
        <v>3.5089999999999999</v>
      </c>
      <c r="G196" s="784"/>
      <c r="H196" s="784"/>
      <c r="L196" s="560"/>
      <c r="M196" s="560"/>
      <c r="N196" s="560"/>
      <c r="O196" s="560"/>
    </row>
    <row r="197" spans="1:15">
      <c r="A197" s="1485"/>
      <c r="B197" s="1488"/>
      <c r="C197" s="902" t="s">
        <v>19</v>
      </c>
      <c r="D197" s="900">
        <f>J57</f>
        <v>11.59</v>
      </c>
      <c r="E197" s="912">
        <f t="shared" si="11"/>
        <v>1.159</v>
      </c>
      <c r="F197" s="800">
        <f t="shared" si="12"/>
        <v>12.749000000000001</v>
      </c>
      <c r="G197" s="900"/>
      <c r="H197" s="784"/>
      <c r="L197" s="560"/>
      <c r="M197" s="560"/>
      <c r="N197" s="560"/>
      <c r="O197" s="560"/>
    </row>
    <row r="198" spans="1:15">
      <c r="A198" s="1486"/>
      <c r="B198" s="1489"/>
      <c r="C198" s="903" t="s">
        <v>588</v>
      </c>
      <c r="D198" s="901">
        <f>J60</f>
        <v>4.3499999999999996</v>
      </c>
      <c r="E198" s="913">
        <f t="shared" ref="E198" si="13">D198*0.1</f>
        <v>0.435</v>
      </c>
      <c r="F198" s="801">
        <f t="shared" ref="F198" si="14">D198+E198</f>
        <v>4.7849999999999993</v>
      </c>
      <c r="G198" s="901"/>
      <c r="H198" s="901"/>
      <c r="L198" s="560"/>
      <c r="M198" s="560"/>
      <c r="N198" s="560"/>
      <c r="O198" s="560"/>
    </row>
    <row r="199" spans="1:15" ht="15" customHeight="1">
      <c r="A199" s="1369" t="s">
        <v>835</v>
      </c>
      <c r="B199" s="1481" t="s">
        <v>809</v>
      </c>
      <c r="C199" s="902" t="s">
        <v>9</v>
      </c>
      <c r="D199" s="218">
        <f>J70</f>
        <v>2.23</v>
      </c>
      <c r="E199" s="816">
        <f t="shared" si="7"/>
        <v>0.223</v>
      </c>
      <c r="F199" s="800">
        <f t="shared" si="8"/>
        <v>2.4529999999999998</v>
      </c>
      <c r="G199" s="784">
        <f>SUM(F199:F208)</f>
        <v>30.513999999999999</v>
      </c>
      <c r="H199" s="784"/>
    </row>
    <row r="200" spans="1:15">
      <c r="A200" s="1370"/>
      <c r="B200" s="1482"/>
      <c r="C200" s="776" t="s">
        <v>804</v>
      </c>
      <c r="D200" s="218">
        <f>J72</f>
        <v>10.25</v>
      </c>
      <c r="E200" s="816">
        <f t="shared" si="7"/>
        <v>1.0250000000000001</v>
      </c>
      <c r="F200" s="800">
        <f t="shared" si="8"/>
        <v>11.275</v>
      </c>
      <c r="G200" s="784"/>
      <c r="H200" s="784"/>
    </row>
    <row r="201" spans="1:15">
      <c r="A201" s="1370"/>
      <c r="B201" s="1482"/>
      <c r="C201" s="776" t="s">
        <v>22</v>
      </c>
      <c r="D201" s="218">
        <f>J76</f>
        <v>0.51</v>
      </c>
      <c r="E201" s="816">
        <f t="shared" si="7"/>
        <v>5.1000000000000004E-2</v>
      </c>
      <c r="F201" s="800">
        <f t="shared" si="8"/>
        <v>0.56100000000000005</v>
      </c>
      <c r="G201" s="784"/>
      <c r="H201" s="784"/>
    </row>
    <row r="202" spans="1:15">
      <c r="A202" s="1370"/>
      <c r="B202" s="1482"/>
      <c r="C202" s="776" t="s">
        <v>803</v>
      </c>
      <c r="D202" s="218">
        <f t="shared" ref="D202" si="15">J77</f>
        <v>2.6799999999999997</v>
      </c>
      <c r="E202" s="816">
        <f t="shared" si="7"/>
        <v>0.26799999999999996</v>
      </c>
      <c r="F202" s="800">
        <f t="shared" si="8"/>
        <v>2.9479999999999995</v>
      </c>
      <c r="G202" s="784"/>
      <c r="H202" s="784"/>
    </row>
    <row r="203" spans="1:15">
      <c r="A203" s="1370"/>
      <c r="B203" s="1482"/>
      <c r="C203" s="776" t="s">
        <v>802</v>
      </c>
      <c r="D203" s="218">
        <f>J79</f>
        <v>1.43</v>
      </c>
      <c r="E203" s="816">
        <f t="shared" si="7"/>
        <v>0.14299999999999999</v>
      </c>
      <c r="F203" s="800">
        <f t="shared" si="8"/>
        <v>1.573</v>
      </c>
      <c r="G203" s="784"/>
      <c r="H203" s="784"/>
    </row>
    <row r="204" spans="1:15">
      <c r="A204" s="1370"/>
      <c r="B204" s="1482"/>
      <c r="C204" s="776" t="s">
        <v>587</v>
      </c>
      <c r="D204" s="218">
        <f t="shared" ref="D204:D205" si="16">J80</f>
        <v>0.82</v>
      </c>
      <c r="E204" s="816">
        <f t="shared" si="7"/>
        <v>8.2000000000000003E-2</v>
      </c>
      <c r="F204" s="800">
        <f t="shared" si="8"/>
        <v>0.90199999999999991</v>
      </c>
      <c r="G204" s="784"/>
      <c r="H204" s="784"/>
    </row>
    <row r="205" spans="1:15">
      <c r="A205" s="1370"/>
      <c r="B205" s="1482"/>
      <c r="C205" s="776" t="s">
        <v>20</v>
      </c>
      <c r="D205" s="218">
        <f t="shared" si="16"/>
        <v>2.95</v>
      </c>
      <c r="E205" s="816">
        <f t="shared" ref="E205:E207" si="17">D205*0.1</f>
        <v>0.29500000000000004</v>
      </c>
      <c r="F205" s="800">
        <f t="shared" ref="F205:F207" si="18">D205+E205</f>
        <v>3.2450000000000001</v>
      </c>
      <c r="G205" s="784"/>
      <c r="H205" s="784"/>
      <c r="L205" s="560"/>
      <c r="M205" s="560"/>
      <c r="N205" s="560"/>
      <c r="O205" s="560"/>
    </row>
    <row r="206" spans="1:15">
      <c r="A206" s="1370"/>
      <c r="B206" s="1482"/>
      <c r="C206" s="776" t="s">
        <v>586</v>
      </c>
      <c r="D206" s="218">
        <f>J83</f>
        <v>1.17</v>
      </c>
      <c r="E206" s="816">
        <f t="shared" si="17"/>
        <v>0.11699999999999999</v>
      </c>
      <c r="F206" s="800">
        <f t="shared" si="18"/>
        <v>1.2869999999999999</v>
      </c>
      <c r="G206" s="784"/>
      <c r="H206" s="784"/>
      <c r="L206" s="560"/>
      <c r="M206" s="560"/>
      <c r="N206" s="560"/>
      <c r="O206" s="560"/>
    </row>
    <row r="207" spans="1:15">
      <c r="A207" s="1370"/>
      <c r="B207" s="1482"/>
      <c r="C207" s="776" t="s">
        <v>19</v>
      </c>
      <c r="D207" s="218">
        <f>J84</f>
        <v>4.7699999999999996</v>
      </c>
      <c r="E207" s="912">
        <f t="shared" si="17"/>
        <v>0.47699999999999998</v>
      </c>
      <c r="F207" s="800">
        <f t="shared" si="18"/>
        <v>5.2469999999999999</v>
      </c>
      <c r="G207" s="900"/>
      <c r="H207" s="784"/>
      <c r="L207" s="560"/>
      <c r="M207" s="560"/>
      <c r="N207" s="560"/>
      <c r="O207" s="560"/>
    </row>
    <row r="208" spans="1:15">
      <c r="A208" s="1370"/>
      <c r="B208" s="1483"/>
      <c r="C208" s="903" t="s">
        <v>588</v>
      </c>
      <c r="D208" s="210">
        <f>J86</f>
        <v>0.93</v>
      </c>
      <c r="E208" s="913">
        <f t="shared" ref="E208" si="19">D208*0.1</f>
        <v>9.3000000000000013E-2</v>
      </c>
      <c r="F208" s="801">
        <f t="shared" ref="F208" si="20">D208+E208</f>
        <v>1.0230000000000001</v>
      </c>
      <c r="G208" s="901"/>
      <c r="H208" s="901"/>
      <c r="L208" s="560"/>
      <c r="M208" s="560"/>
      <c r="N208" s="560"/>
      <c r="O208" s="560"/>
    </row>
    <row r="209" spans="1:15" ht="15" customHeight="1">
      <c r="A209" s="1370"/>
      <c r="B209" s="1487" t="s">
        <v>810</v>
      </c>
      <c r="C209" s="902" t="s">
        <v>9</v>
      </c>
      <c r="D209" s="218">
        <f>J87</f>
        <v>2.23</v>
      </c>
      <c r="E209" s="816">
        <f t="shared" ref="E209:E217" si="21">D209*0.1</f>
        <v>0.223</v>
      </c>
      <c r="F209" s="800">
        <f t="shared" ref="F209:F217" si="22">D209+E209</f>
        <v>2.4529999999999998</v>
      </c>
      <c r="G209" s="784">
        <f>SUM(F209:F218)</f>
        <v>30.513999999999999</v>
      </c>
      <c r="H209" s="784"/>
      <c r="L209" s="560"/>
      <c r="M209" s="560"/>
      <c r="N209" s="560"/>
      <c r="O209" s="560"/>
    </row>
    <row r="210" spans="1:15">
      <c r="A210" s="1370"/>
      <c r="B210" s="1488"/>
      <c r="C210" s="776" t="s">
        <v>804</v>
      </c>
      <c r="D210" s="218">
        <f>J89</f>
        <v>10.25</v>
      </c>
      <c r="E210" s="816">
        <f t="shared" si="21"/>
        <v>1.0250000000000001</v>
      </c>
      <c r="F210" s="800">
        <f t="shared" si="22"/>
        <v>11.275</v>
      </c>
      <c r="G210" s="784"/>
      <c r="H210" s="784"/>
      <c r="L210" s="560"/>
      <c r="M210" s="560"/>
      <c r="N210" s="560"/>
      <c r="O210" s="560"/>
    </row>
    <row r="211" spans="1:15">
      <c r="A211" s="1370"/>
      <c r="B211" s="1488"/>
      <c r="C211" s="776" t="s">
        <v>22</v>
      </c>
      <c r="D211" s="218">
        <f>J93</f>
        <v>0.51</v>
      </c>
      <c r="E211" s="816">
        <f t="shared" si="21"/>
        <v>5.1000000000000004E-2</v>
      </c>
      <c r="F211" s="800">
        <f t="shared" si="22"/>
        <v>0.56100000000000005</v>
      </c>
      <c r="G211" s="784"/>
      <c r="H211" s="784"/>
      <c r="L211" s="560"/>
      <c r="M211" s="560"/>
      <c r="N211" s="560"/>
      <c r="O211" s="560"/>
    </row>
    <row r="212" spans="1:15">
      <c r="A212" s="1370"/>
      <c r="B212" s="1488"/>
      <c r="C212" s="776" t="s">
        <v>803</v>
      </c>
      <c r="D212" s="218">
        <f t="shared" ref="D212" si="23">J94</f>
        <v>2.6799999999999997</v>
      </c>
      <c r="E212" s="816">
        <f t="shared" si="21"/>
        <v>0.26799999999999996</v>
      </c>
      <c r="F212" s="800">
        <f t="shared" si="22"/>
        <v>2.9479999999999995</v>
      </c>
      <c r="G212" s="784"/>
      <c r="H212" s="784"/>
      <c r="L212" s="560"/>
      <c r="M212" s="560"/>
      <c r="N212" s="560"/>
      <c r="O212" s="560"/>
    </row>
    <row r="213" spans="1:15">
      <c r="A213" s="1370"/>
      <c r="B213" s="1488"/>
      <c r="C213" s="776" t="s">
        <v>802</v>
      </c>
      <c r="D213" s="218">
        <f>J96</f>
        <v>1.43</v>
      </c>
      <c r="E213" s="816">
        <f t="shared" si="21"/>
        <v>0.14299999999999999</v>
      </c>
      <c r="F213" s="800">
        <f t="shared" si="22"/>
        <v>1.573</v>
      </c>
      <c r="G213" s="784"/>
      <c r="H213" s="784"/>
      <c r="L213" s="560"/>
      <c r="M213" s="560"/>
      <c r="N213" s="560"/>
      <c r="O213" s="560"/>
    </row>
    <row r="214" spans="1:15">
      <c r="A214" s="1370"/>
      <c r="B214" s="1488"/>
      <c r="C214" s="776" t="s">
        <v>587</v>
      </c>
      <c r="D214" s="218">
        <f t="shared" ref="D214:D215" si="24">J97</f>
        <v>0.82</v>
      </c>
      <c r="E214" s="816">
        <f t="shared" si="21"/>
        <v>8.2000000000000003E-2</v>
      </c>
      <c r="F214" s="800">
        <f t="shared" si="22"/>
        <v>0.90199999999999991</v>
      </c>
      <c r="G214" s="784"/>
      <c r="H214" s="784"/>
      <c r="L214" s="560"/>
      <c r="M214" s="560"/>
      <c r="N214" s="560"/>
      <c r="O214" s="560"/>
    </row>
    <row r="215" spans="1:15">
      <c r="A215" s="1370"/>
      <c r="B215" s="1488"/>
      <c r="C215" s="776" t="s">
        <v>20</v>
      </c>
      <c r="D215" s="218">
        <f t="shared" si="24"/>
        <v>2.95</v>
      </c>
      <c r="E215" s="816">
        <f t="shared" si="21"/>
        <v>0.29500000000000004</v>
      </c>
      <c r="F215" s="800">
        <f t="shared" si="22"/>
        <v>3.2450000000000001</v>
      </c>
      <c r="G215" s="784"/>
      <c r="H215" s="784"/>
      <c r="L215" s="560"/>
      <c r="M215" s="560"/>
      <c r="N215" s="560"/>
      <c r="O215" s="560"/>
    </row>
    <row r="216" spans="1:15">
      <c r="A216" s="1370"/>
      <c r="B216" s="1488"/>
      <c r="C216" s="776" t="s">
        <v>586</v>
      </c>
      <c r="D216" s="218">
        <f>J100</f>
        <v>1.17</v>
      </c>
      <c r="E216" s="816">
        <f t="shared" si="21"/>
        <v>0.11699999999999999</v>
      </c>
      <c r="F216" s="800">
        <f t="shared" si="22"/>
        <v>1.2869999999999999</v>
      </c>
      <c r="G216" s="784"/>
      <c r="H216" s="784"/>
      <c r="L216" s="560"/>
      <c r="M216" s="560"/>
      <c r="N216" s="560"/>
      <c r="O216" s="560"/>
    </row>
    <row r="217" spans="1:15">
      <c r="A217" s="1370"/>
      <c r="B217" s="1488"/>
      <c r="C217" s="902" t="s">
        <v>19</v>
      </c>
      <c r="D217" s="218">
        <f>J101</f>
        <v>4.7699999999999996</v>
      </c>
      <c r="E217" s="816">
        <f t="shared" si="21"/>
        <v>0.47699999999999998</v>
      </c>
      <c r="F217" s="800">
        <f t="shared" si="22"/>
        <v>5.2469999999999999</v>
      </c>
      <c r="G217" s="900"/>
      <c r="H217" s="784"/>
    </row>
    <row r="218" spans="1:15">
      <c r="A218" s="1371"/>
      <c r="B218" s="1489"/>
      <c r="C218" s="903" t="s">
        <v>588</v>
      </c>
      <c r="D218" s="210">
        <f>J103</f>
        <v>0.93</v>
      </c>
      <c r="E218" s="913">
        <f t="shared" ref="E218" si="25">D218*0.1</f>
        <v>9.3000000000000013E-2</v>
      </c>
      <c r="F218" s="801">
        <f t="shared" ref="F218" si="26">D218+E218</f>
        <v>1.0230000000000001</v>
      </c>
      <c r="G218" s="210"/>
      <c r="H218" s="901"/>
      <c r="L218" s="560"/>
      <c r="M218" s="560"/>
      <c r="N218" s="560"/>
      <c r="O218" s="560"/>
    </row>
    <row r="219" spans="1:15" ht="15" customHeight="1">
      <c r="A219" s="1369" t="s">
        <v>857</v>
      </c>
      <c r="B219" s="1481" t="s">
        <v>809</v>
      </c>
      <c r="C219" s="902" t="s">
        <v>9</v>
      </c>
      <c r="D219" s="218">
        <f>J112</f>
        <v>5.68</v>
      </c>
      <c r="E219" s="912">
        <f t="shared" si="7"/>
        <v>0.56799999999999995</v>
      </c>
      <c r="F219" s="800">
        <f t="shared" ref="F219:F237" si="27">D219+E219</f>
        <v>6.2479999999999993</v>
      </c>
      <c r="G219" s="218">
        <f>SUM(F219:F228)</f>
        <v>65.064999999999998</v>
      </c>
      <c r="H219" s="784"/>
    </row>
    <row r="220" spans="1:15">
      <c r="A220" s="1370"/>
      <c r="B220" s="1482"/>
      <c r="C220" s="776" t="s">
        <v>804</v>
      </c>
      <c r="D220" s="218">
        <f>J115</f>
        <v>18.990000000000002</v>
      </c>
      <c r="E220" s="816">
        <f t="shared" si="7"/>
        <v>1.8990000000000002</v>
      </c>
      <c r="F220" s="800">
        <f t="shared" si="27"/>
        <v>20.889000000000003</v>
      </c>
      <c r="G220" s="784"/>
      <c r="H220" s="784"/>
    </row>
    <row r="221" spans="1:15">
      <c r="A221" s="1370"/>
      <c r="B221" s="1482"/>
      <c r="C221" s="776" t="s">
        <v>22</v>
      </c>
      <c r="D221" s="218">
        <f>J120</f>
        <v>1.61</v>
      </c>
      <c r="E221" s="816">
        <f t="shared" si="7"/>
        <v>0.16100000000000003</v>
      </c>
      <c r="F221" s="800">
        <f t="shared" si="27"/>
        <v>1.7710000000000001</v>
      </c>
      <c r="G221" s="784"/>
      <c r="H221" s="784"/>
    </row>
    <row r="222" spans="1:15">
      <c r="A222" s="1370"/>
      <c r="B222" s="1482"/>
      <c r="C222" s="776" t="s">
        <v>803</v>
      </c>
      <c r="D222" s="218">
        <f>J122</f>
        <v>3.2299999999999995</v>
      </c>
      <c r="E222" s="816">
        <f t="shared" si="7"/>
        <v>0.32299999999999995</v>
      </c>
      <c r="F222" s="800">
        <f t="shared" si="27"/>
        <v>3.5529999999999995</v>
      </c>
      <c r="G222" s="784"/>
      <c r="H222" s="784"/>
    </row>
    <row r="223" spans="1:15">
      <c r="A223" s="1370"/>
      <c r="B223" s="1482"/>
      <c r="C223" s="776" t="s">
        <v>802</v>
      </c>
      <c r="D223" s="218">
        <f>J125</f>
        <v>5.05</v>
      </c>
      <c r="E223" s="816">
        <f t="shared" si="7"/>
        <v>0.505</v>
      </c>
      <c r="F223" s="800">
        <f t="shared" si="27"/>
        <v>5.5549999999999997</v>
      </c>
      <c r="G223" s="784"/>
      <c r="H223" s="784"/>
    </row>
    <row r="224" spans="1:15">
      <c r="A224" s="1370"/>
      <c r="B224" s="1482"/>
      <c r="C224" s="776" t="s">
        <v>587</v>
      </c>
      <c r="D224" s="218">
        <f>J127</f>
        <v>2.1</v>
      </c>
      <c r="E224" s="816">
        <f t="shared" si="7"/>
        <v>0.21000000000000002</v>
      </c>
      <c r="F224" s="800">
        <f t="shared" si="27"/>
        <v>2.31</v>
      </c>
      <c r="G224" s="784"/>
      <c r="H224" s="784"/>
    </row>
    <row r="225" spans="1:15">
      <c r="A225" s="1370"/>
      <c r="B225" s="1482"/>
      <c r="C225" s="776" t="s">
        <v>20</v>
      </c>
      <c r="D225" s="218">
        <f>J129</f>
        <v>6.12</v>
      </c>
      <c r="E225" s="816">
        <f t="shared" si="7"/>
        <v>0.6120000000000001</v>
      </c>
      <c r="F225" s="800">
        <f t="shared" si="27"/>
        <v>6.7320000000000002</v>
      </c>
      <c r="G225" s="784"/>
      <c r="H225" s="784"/>
      <c r="L225" s="560"/>
      <c r="M225" s="560"/>
      <c r="N225" s="560"/>
      <c r="O225" s="560"/>
    </row>
    <row r="226" spans="1:15">
      <c r="A226" s="1370"/>
      <c r="B226" s="1482"/>
      <c r="C226" s="776" t="s">
        <v>586</v>
      </c>
      <c r="D226" s="218">
        <f>J132</f>
        <v>2.5599999999999996</v>
      </c>
      <c r="E226" s="816">
        <f t="shared" si="7"/>
        <v>0.25599999999999995</v>
      </c>
      <c r="F226" s="800">
        <f t="shared" si="27"/>
        <v>2.8159999999999994</v>
      </c>
      <c r="G226" s="784"/>
      <c r="H226" s="784"/>
      <c r="L226" s="560"/>
      <c r="M226" s="560"/>
      <c r="N226" s="560"/>
      <c r="O226" s="560"/>
    </row>
    <row r="227" spans="1:15">
      <c r="A227" s="1370"/>
      <c r="B227" s="1482"/>
      <c r="C227" s="776" t="s">
        <v>19</v>
      </c>
      <c r="D227" s="900">
        <f>J134</f>
        <v>9.4600000000000009</v>
      </c>
      <c r="E227" s="912">
        <f t="shared" si="7"/>
        <v>0.94600000000000017</v>
      </c>
      <c r="F227" s="800">
        <f t="shared" si="27"/>
        <v>10.406000000000001</v>
      </c>
      <c r="G227" s="900"/>
      <c r="H227" s="784"/>
      <c r="L227" s="560"/>
      <c r="M227" s="560"/>
      <c r="N227" s="560"/>
      <c r="O227" s="560"/>
    </row>
    <row r="228" spans="1:15">
      <c r="A228" s="1370"/>
      <c r="B228" s="1483"/>
      <c r="C228" s="902" t="s">
        <v>588</v>
      </c>
      <c r="D228" s="901">
        <f>J137</f>
        <v>4.3499999999999996</v>
      </c>
      <c r="E228" s="913">
        <f t="shared" ref="E228" si="28">D228*0.1</f>
        <v>0.435</v>
      </c>
      <c r="F228" s="801">
        <f t="shared" ref="F228" si="29">D228+E228</f>
        <v>4.7849999999999993</v>
      </c>
      <c r="G228" s="210"/>
      <c r="H228" s="901"/>
      <c r="L228" s="560"/>
      <c r="M228" s="560"/>
      <c r="N228" s="560"/>
      <c r="O228" s="560"/>
    </row>
    <row r="229" spans="1:15" ht="15" customHeight="1">
      <c r="A229" s="1370"/>
      <c r="B229" s="1487" t="s">
        <v>810</v>
      </c>
      <c r="C229" s="774" t="s">
        <v>9</v>
      </c>
      <c r="D229" s="218">
        <f>J139</f>
        <v>5.68</v>
      </c>
      <c r="E229" s="816">
        <f t="shared" si="7"/>
        <v>0.56799999999999995</v>
      </c>
      <c r="F229" s="800">
        <f t="shared" si="27"/>
        <v>6.2479999999999993</v>
      </c>
      <c r="G229" s="218">
        <f>SUM(F229:F238)</f>
        <v>65.064999999999998</v>
      </c>
      <c r="H229" s="784"/>
      <c r="L229" s="560"/>
      <c r="M229" s="560"/>
      <c r="N229" s="560"/>
      <c r="O229" s="560"/>
    </row>
    <row r="230" spans="1:15">
      <c r="A230" s="1370"/>
      <c r="B230" s="1488"/>
      <c r="C230" s="776" t="s">
        <v>804</v>
      </c>
      <c r="D230" s="218">
        <f>J142</f>
        <v>18.990000000000002</v>
      </c>
      <c r="E230" s="816">
        <f t="shared" si="7"/>
        <v>1.8990000000000002</v>
      </c>
      <c r="F230" s="800">
        <f t="shared" si="27"/>
        <v>20.889000000000003</v>
      </c>
      <c r="G230" s="784"/>
      <c r="H230" s="784"/>
      <c r="L230" s="560"/>
      <c r="M230" s="560"/>
      <c r="N230" s="560"/>
      <c r="O230" s="560"/>
    </row>
    <row r="231" spans="1:15">
      <c r="A231" s="1370"/>
      <c r="B231" s="1488"/>
      <c r="C231" s="776" t="s">
        <v>22</v>
      </c>
      <c r="D231" s="218">
        <f>J147</f>
        <v>1.61</v>
      </c>
      <c r="E231" s="816">
        <f t="shared" si="7"/>
        <v>0.16100000000000003</v>
      </c>
      <c r="F231" s="800">
        <f t="shared" si="27"/>
        <v>1.7710000000000001</v>
      </c>
      <c r="G231" s="784"/>
      <c r="H231" s="784"/>
      <c r="L231" s="560"/>
      <c r="M231" s="560"/>
      <c r="N231" s="560"/>
      <c r="O231" s="560"/>
    </row>
    <row r="232" spans="1:15">
      <c r="A232" s="1370"/>
      <c r="B232" s="1488"/>
      <c r="C232" s="776" t="s">
        <v>803</v>
      </c>
      <c r="D232" s="218">
        <f>J149</f>
        <v>3.2299999999999995</v>
      </c>
      <c r="E232" s="816">
        <f t="shared" si="7"/>
        <v>0.32299999999999995</v>
      </c>
      <c r="F232" s="800">
        <f t="shared" si="27"/>
        <v>3.5529999999999995</v>
      </c>
      <c r="G232" s="784"/>
      <c r="H232" s="784"/>
      <c r="L232" s="560"/>
      <c r="M232" s="560"/>
      <c r="N232" s="560"/>
      <c r="O232" s="560"/>
    </row>
    <row r="233" spans="1:15">
      <c r="A233" s="1370"/>
      <c r="B233" s="1488"/>
      <c r="C233" s="776" t="s">
        <v>802</v>
      </c>
      <c r="D233" s="218">
        <f>J152</f>
        <v>5.05</v>
      </c>
      <c r="E233" s="816">
        <f t="shared" si="7"/>
        <v>0.505</v>
      </c>
      <c r="F233" s="800">
        <f t="shared" si="27"/>
        <v>5.5549999999999997</v>
      </c>
      <c r="G233" s="784"/>
      <c r="H233" s="784"/>
      <c r="L233" s="560"/>
      <c r="M233" s="560"/>
      <c r="N233" s="560"/>
      <c r="O233" s="560"/>
    </row>
    <row r="234" spans="1:15">
      <c r="A234" s="1370"/>
      <c r="B234" s="1488"/>
      <c r="C234" s="776" t="s">
        <v>587</v>
      </c>
      <c r="D234" s="218">
        <f>J154</f>
        <v>2.1</v>
      </c>
      <c r="E234" s="816">
        <f t="shared" si="7"/>
        <v>0.21000000000000002</v>
      </c>
      <c r="F234" s="800">
        <f t="shared" si="27"/>
        <v>2.31</v>
      </c>
      <c r="G234" s="784"/>
      <c r="H234" s="784"/>
      <c r="L234" s="560"/>
      <c r="M234" s="560"/>
      <c r="N234" s="560"/>
      <c r="O234" s="560"/>
    </row>
    <row r="235" spans="1:15">
      <c r="A235" s="1370"/>
      <c r="B235" s="1488"/>
      <c r="C235" s="776" t="s">
        <v>20</v>
      </c>
      <c r="D235" s="218">
        <f>J156</f>
        <v>6.12</v>
      </c>
      <c r="E235" s="816">
        <f t="shared" si="7"/>
        <v>0.6120000000000001</v>
      </c>
      <c r="F235" s="800">
        <f t="shared" si="27"/>
        <v>6.7320000000000002</v>
      </c>
      <c r="G235" s="784"/>
      <c r="H235" s="784"/>
      <c r="L235" s="560"/>
      <c r="M235" s="560"/>
      <c r="N235" s="560"/>
      <c r="O235" s="560"/>
    </row>
    <row r="236" spans="1:15">
      <c r="A236" s="1370"/>
      <c r="B236" s="1488"/>
      <c r="C236" s="776" t="s">
        <v>586</v>
      </c>
      <c r="D236" s="218">
        <f>J159</f>
        <v>2.5599999999999996</v>
      </c>
      <c r="E236" s="816">
        <f t="shared" si="7"/>
        <v>0.25599999999999995</v>
      </c>
      <c r="F236" s="800">
        <f t="shared" si="27"/>
        <v>2.8159999999999994</v>
      </c>
      <c r="G236" s="784"/>
      <c r="H236" s="784"/>
      <c r="L236" s="560"/>
      <c r="M236" s="560"/>
      <c r="N236" s="560"/>
      <c r="O236" s="560"/>
    </row>
    <row r="237" spans="1:15">
      <c r="A237" s="1370"/>
      <c r="B237" s="1488"/>
      <c r="C237" s="902" t="s">
        <v>19</v>
      </c>
      <c r="D237" s="218">
        <f>J161</f>
        <v>9.4600000000000009</v>
      </c>
      <c r="E237" s="912">
        <f t="shared" si="7"/>
        <v>0.94600000000000017</v>
      </c>
      <c r="F237" s="800">
        <f t="shared" si="27"/>
        <v>10.406000000000001</v>
      </c>
      <c r="G237" s="900"/>
      <c r="H237" s="900"/>
    </row>
    <row r="238" spans="1:15">
      <c r="A238" s="1371"/>
      <c r="B238" s="1489"/>
      <c r="C238" s="903" t="s">
        <v>588</v>
      </c>
      <c r="D238" s="210">
        <f>J164</f>
        <v>4.3499999999999996</v>
      </c>
      <c r="E238" s="913">
        <f t="shared" ref="E238" si="30">D238*0.1</f>
        <v>0.435</v>
      </c>
      <c r="F238" s="801">
        <f t="shared" ref="F238" si="31">D238+E238</f>
        <v>4.7849999999999993</v>
      </c>
      <c r="G238" s="227"/>
      <c r="H238" s="901"/>
      <c r="L238" s="560"/>
      <c r="M238" s="560"/>
      <c r="N238" s="560"/>
      <c r="O238" s="560"/>
    </row>
    <row r="242" spans="1:15">
      <c r="A242" s="150" t="s">
        <v>0</v>
      </c>
      <c r="B242" s="1402" t="s">
        <v>566</v>
      </c>
      <c r="C242" s="1403"/>
      <c r="D242" s="1403"/>
      <c r="E242" s="1404"/>
      <c r="F242" s="1508"/>
      <c r="G242" s="1402" t="s">
        <v>567</v>
      </c>
      <c r="H242" s="1403"/>
      <c r="I242" s="1403"/>
      <c r="J242" s="1403"/>
      <c r="K242" s="1404"/>
      <c r="L242" s="1352" t="s">
        <v>5</v>
      </c>
      <c r="M242" s="1353"/>
      <c r="N242" s="1352" t="s">
        <v>6</v>
      </c>
      <c r="O242" s="1353"/>
    </row>
    <row r="243" spans="1:15" ht="23.25" customHeight="1">
      <c r="A243" s="47">
        <v>3</v>
      </c>
      <c r="B243" s="1511" t="s">
        <v>133</v>
      </c>
      <c r="C243" s="1512"/>
      <c r="D243" s="1512"/>
      <c r="E243" s="1513"/>
      <c r="F243" s="1509"/>
      <c r="G243" s="1414" t="s">
        <v>568</v>
      </c>
      <c r="H243" s="1415"/>
      <c r="I243" s="1415"/>
      <c r="J243" s="1415"/>
      <c r="K243" s="1416"/>
      <c r="L243" s="1391" t="str">
        <f>'1.Dati'!L2:M2</f>
        <v>Prof. R. RICCIU</v>
      </c>
      <c r="M243" s="1392"/>
      <c r="N243" s="1391" t="str">
        <f>N172</f>
        <v>X</v>
      </c>
      <c r="O243" s="1392"/>
    </row>
    <row r="244" spans="1:15">
      <c r="A244" s="48" t="s">
        <v>64</v>
      </c>
      <c r="B244" s="1514"/>
      <c r="C244" s="1515"/>
      <c r="D244" s="1515"/>
      <c r="E244" s="1516"/>
      <c r="F244" s="1510"/>
      <c r="G244" s="1354" t="str">
        <f>'1.Dati'!G3:K3</f>
        <v>LAB. INTEGR. DI PROG. TECN. (TERMOFISICA DELL'EDIFICIO) a.a. 2019/2020</v>
      </c>
      <c r="H244" s="1355"/>
      <c r="I244" s="1355"/>
      <c r="J244" s="1355"/>
      <c r="K244" s="1356"/>
      <c r="L244" s="1357" t="s">
        <v>1028</v>
      </c>
      <c r="M244" s="1358"/>
      <c r="N244" s="1357" t="str">
        <f>N173</f>
        <v>Y</v>
      </c>
      <c r="O244" s="1358"/>
    </row>
    <row r="247" spans="1:15" ht="15" customHeight="1">
      <c r="A247" s="1537" t="s">
        <v>169</v>
      </c>
      <c r="B247" s="1538"/>
      <c r="C247" s="1539"/>
      <c r="D247" s="1537" t="s">
        <v>134</v>
      </c>
      <c r="E247" s="1538"/>
      <c r="F247" s="1539"/>
      <c r="G247" s="1537" t="s">
        <v>135</v>
      </c>
      <c r="H247" s="1538"/>
      <c r="I247" s="1538"/>
      <c r="J247" s="1539"/>
      <c r="K247" s="1537" t="s">
        <v>136</v>
      </c>
      <c r="L247" s="1538"/>
      <c r="M247" s="1538"/>
      <c r="N247" s="1539"/>
    </row>
    <row r="248" spans="1:15" ht="39.75" customHeight="1">
      <c r="A248" s="204" t="s">
        <v>332</v>
      </c>
      <c r="B248" s="112" t="s">
        <v>89</v>
      </c>
      <c r="C248" s="112" t="s">
        <v>15</v>
      </c>
      <c r="D248" s="112" t="s">
        <v>79</v>
      </c>
      <c r="E248" s="112" t="s">
        <v>170</v>
      </c>
      <c r="F248" s="112" t="s">
        <v>175</v>
      </c>
      <c r="G248" s="112" t="s">
        <v>172</v>
      </c>
      <c r="H248" s="99" t="s">
        <v>171</v>
      </c>
      <c r="I248" s="194" t="s">
        <v>79</v>
      </c>
      <c r="J248" s="195" t="s">
        <v>26</v>
      </c>
      <c r="K248" s="196" t="s">
        <v>88</v>
      </c>
      <c r="L248" s="197" t="s">
        <v>174</v>
      </c>
      <c r="M248" s="198" t="s">
        <v>220</v>
      </c>
      <c r="N248" s="198" t="s">
        <v>139</v>
      </c>
      <c r="O248" s="554" t="s">
        <v>666</v>
      </c>
    </row>
    <row r="249" spans="1:15" ht="15" customHeight="1">
      <c r="A249" s="1540" t="s">
        <v>24</v>
      </c>
      <c r="B249" s="199" t="s">
        <v>140</v>
      </c>
      <c r="C249" s="199" t="s">
        <v>141</v>
      </c>
      <c r="D249" s="199" t="s">
        <v>173</v>
      </c>
      <c r="E249" s="200" t="s">
        <v>142</v>
      </c>
      <c r="F249" s="200" t="s">
        <v>144</v>
      </c>
      <c r="G249" s="200" t="s">
        <v>176</v>
      </c>
      <c r="H249" s="200" t="s">
        <v>143</v>
      </c>
      <c r="I249" s="201" t="s">
        <v>608</v>
      </c>
      <c r="J249" s="200" t="s">
        <v>609</v>
      </c>
      <c r="K249" s="1549" t="s">
        <v>24</v>
      </c>
      <c r="L249" s="206" t="s">
        <v>145</v>
      </c>
      <c r="M249" s="200" t="s">
        <v>146</v>
      </c>
      <c r="N249" s="200" t="s">
        <v>147</v>
      </c>
      <c r="O249" s="200" t="s">
        <v>664</v>
      </c>
    </row>
    <row r="250" spans="1:15" ht="15" customHeight="1">
      <c r="A250" s="1541"/>
      <c r="B250" s="189" t="s">
        <v>31</v>
      </c>
      <c r="C250" s="189" t="s">
        <v>31</v>
      </c>
      <c r="D250" s="189" t="s">
        <v>148</v>
      </c>
      <c r="E250" s="175" t="s">
        <v>149</v>
      </c>
      <c r="F250" s="175" t="s">
        <v>31</v>
      </c>
      <c r="G250" s="175" t="s">
        <v>91</v>
      </c>
      <c r="H250" s="175" t="s">
        <v>671</v>
      </c>
      <c r="I250" s="202" t="s">
        <v>148</v>
      </c>
      <c r="J250" s="175" t="s">
        <v>149</v>
      </c>
      <c r="K250" s="1550"/>
      <c r="L250" s="203" t="s">
        <v>31</v>
      </c>
      <c r="M250" s="175" t="s">
        <v>150</v>
      </c>
      <c r="N250" s="175" t="s">
        <v>150</v>
      </c>
      <c r="O250" s="175" t="s">
        <v>665</v>
      </c>
    </row>
    <row r="251" spans="1:15">
      <c r="A251" s="396" t="s">
        <v>618</v>
      </c>
      <c r="B251" s="139">
        <v>1.5</v>
      </c>
      <c r="C251" s="139">
        <v>2.1</v>
      </c>
      <c r="D251" s="228">
        <v>1.3</v>
      </c>
      <c r="E251" s="228">
        <f>O251-J251</f>
        <v>2.8375000000000004</v>
      </c>
      <c r="F251" s="139"/>
      <c r="G251" s="139"/>
      <c r="H251" s="557">
        <v>50</v>
      </c>
      <c r="I251" s="139">
        <v>1.9</v>
      </c>
      <c r="J251" s="139">
        <v>0.3125</v>
      </c>
      <c r="K251" s="473" t="s">
        <v>670</v>
      </c>
      <c r="L251" s="474">
        <v>0</v>
      </c>
      <c r="M251" s="341">
        <v>0.2</v>
      </c>
      <c r="N251" s="139">
        <v>0.36</v>
      </c>
      <c r="O251" s="551">
        <f>B251*C251</f>
        <v>3.1500000000000004</v>
      </c>
    </row>
    <row r="252" spans="1:15">
      <c r="A252" s="397" t="s">
        <v>619</v>
      </c>
      <c r="B252" s="139">
        <v>4.5</v>
      </c>
      <c r="C252" s="773">
        <v>2.1</v>
      </c>
      <c r="D252" s="228">
        <v>1.3</v>
      </c>
      <c r="E252" s="228">
        <f t="shared" ref="E252:E254" si="32">O252-J252</f>
        <v>9.3050000000000015</v>
      </c>
      <c r="F252" s="139"/>
      <c r="G252" s="139"/>
      <c r="H252" s="557">
        <v>50</v>
      </c>
      <c r="I252" s="567">
        <v>1.9</v>
      </c>
      <c r="J252" s="414">
        <v>0.14500000000000002</v>
      </c>
      <c r="K252" s="475" t="s">
        <v>670</v>
      </c>
      <c r="L252" s="474">
        <v>0</v>
      </c>
      <c r="M252" s="341">
        <v>0.2</v>
      </c>
      <c r="N252" s="414">
        <v>0.36</v>
      </c>
      <c r="O252" s="551">
        <f>B252*C252</f>
        <v>9.4500000000000011</v>
      </c>
    </row>
    <row r="253" spans="1:15">
      <c r="A253" s="844" t="s">
        <v>631</v>
      </c>
      <c r="B253" s="773">
        <v>1.2</v>
      </c>
      <c r="C253" s="773">
        <v>1.4</v>
      </c>
      <c r="D253" s="228">
        <v>1.3</v>
      </c>
      <c r="E253" s="228">
        <f t="shared" si="32"/>
        <v>1.5349999999999999</v>
      </c>
      <c r="F253" s="773"/>
      <c r="G253" s="773"/>
      <c r="H253" s="557">
        <v>50</v>
      </c>
      <c r="I253" s="773">
        <v>1.9</v>
      </c>
      <c r="J253" s="773">
        <v>0.14500000000000002</v>
      </c>
      <c r="K253" s="475" t="s">
        <v>670</v>
      </c>
      <c r="L253" s="474">
        <v>0</v>
      </c>
      <c r="M253" s="341">
        <v>0.2</v>
      </c>
      <c r="N253" s="773">
        <v>0.36</v>
      </c>
      <c r="O253" s="773">
        <f t="shared" ref="O253:O254" si="33">B253*C253</f>
        <v>1.68</v>
      </c>
    </row>
    <row r="254" spans="1:15">
      <c r="A254" s="845" t="s">
        <v>858</v>
      </c>
      <c r="B254" s="773">
        <v>0.4</v>
      </c>
      <c r="C254" s="773">
        <v>0.4</v>
      </c>
      <c r="D254" s="228">
        <v>1.3</v>
      </c>
      <c r="E254" s="228">
        <f t="shared" si="32"/>
        <v>1.5000000000000013E-2</v>
      </c>
      <c r="F254" s="773"/>
      <c r="G254" s="773"/>
      <c r="H254" s="557">
        <v>50</v>
      </c>
      <c r="I254" s="773">
        <v>1.9</v>
      </c>
      <c r="J254" s="773">
        <v>0.14500000000000002</v>
      </c>
      <c r="K254" s="475" t="s">
        <v>670</v>
      </c>
      <c r="L254" s="474">
        <v>0</v>
      </c>
      <c r="M254" s="341">
        <v>0.2</v>
      </c>
      <c r="N254" s="773">
        <v>0.36</v>
      </c>
      <c r="O254" s="773">
        <f t="shared" si="33"/>
        <v>0.16000000000000003</v>
      </c>
    </row>
    <row r="255" spans="1:15">
      <c r="A255" s="477" t="s">
        <v>859</v>
      </c>
      <c r="B255" s="442">
        <v>0.8</v>
      </c>
      <c r="C255" s="442">
        <v>1.4</v>
      </c>
      <c r="D255" s="228">
        <v>1.3</v>
      </c>
      <c r="E255" s="228">
        <f>O255-J255</f>
        <v>0.80749999999999988</v>
      </c>
      <c r="F255" s="442"/>
      <c r="G255" s="442"/>
      <c r="H255" s="557">
        <v>50</v>
      </c>
      <c r="I255" s="567">
        <v>1.9</v>
      </c>
      <c r="J255" s="442">
        <v>0.3125</v>
      </c>
      <c r="K255" s="475" t="s">
        <v>670</v>
      </c>
      <c r="L255" s="474">
        <v>0</v>
      </c>
      <c r="M255" s="341">
        <v>0.2</v>
      </c>
      <c r="N255" s="442">
        <v>0.36</v>
      </c>
      <c r="O255" s="551">
        <f>B255*C255</f>
        <v>1.1199999999999999</v>
      </c>
    </row>
    <row r="256" spans="1:15">
      <c r="A256" s="65"/>
      <c r="B256" s="138"/>
      <c r="C256" s="138"/>
      <c r="D256" s="433"/>
      <c r="E256" s="433"/>
      <c r="F256" s="138"/>
      <c r="G256" s="138"/>
      <c r="H256" s="138"/>
      <c r="I256" s="138"/>
      <c r="J256" s="145"/>
      <c r="K256" s="434"/>
      <c r="L256" s="388"/>
      <c r="M256" s="145"/>
      <c r="N256" s="145"/>
    </row>
    <row r="258" spans="1:16">
      <c r="A258" s="150" t="s">
        <v>0</v>
      </c>
      <c r="B258" s="1402" t="s">
        <v>566</v>
      </c>
      <c r="C258" s="1403"/>
      <c r="D258" s="1403"/>
      <c r="E258" s="1404"/>
      <c r="F258" s="1508"/>
      <c r="G258" s="1402" t="s">
        <v>567</v>
      </c>
      <c r="H258" s="1403"/>
      <c r="I258" s="1403"/>
      <c r="J258" s="1403"/>
      <c r="K258" s="1404"/>
      <c r="L258" s="1352" t="s">
        <v>5</v>
      </c>
      <c r="M258" s="1353"/>
      <c r="N258" s="1352" t="s">
        <v>6</v>
      </c>
      <c r="O258" s="1353"/>
    </row>
    <row r="259" spans="1:16" ht="23.25" customHeight="1">
      <c r="A259" s="47">
        <v>3</v>
      </c>
      <c r="B259" s="1511" t="s">
        <v>133</v>
      </c>
      <c r="C259" s="1512"/>
      <c r="D259" s="1512"/>
      <c r="E259" s="1513"/>
      <c r="F259" s="1509"/>
      <c r="G259" s="1414" t="s">
        <v>568</v>
      </c>
      <c r="H259" s="1415"/>
      <c r="I259" s="1415"/>
      <c r="J259" s="1415"/>
      <c r="K259" s="1416"/>
      <c r="L259" s="1391" t="str">
        <f>'1.Dati'!L2:M2</f>
        <v>Prof. R. RICCIU</v>
      </c>
      <c r="M259" s="1392"/>
      <c r="N259" s="1391" t="str">
        <f>N243</f>
        <v>X</v>
      </c>
      <c r="O259" s="1392"/>
    </row>
    <row r="260" spans="1:16">
      <c r="A260" s="48" t="s">
        <v>65</v>
      </c>
      <c r="B260" s="1514"/>
      <c r="C260" s="1515"/>
      <c r="D260" s="1515"/>
      <c r="E260" s="1516"/>
      <c r="F260" s="1510"/>
      <c r="G260" s="1354" t="str">
        <f>'1.Dati'!G3:K3</f>
        <v>LAB. INTEGR. DI PROG. TECN. (TERMOFISICA DELL'EDIFICIO) a.a. 2019/2020</v>
      </c>
      <c r="H260" s="1355"/>
      <c r="I260" s="1355"/>
      <c r="J260" s="1355"/>
      <c r="K260" s="1356"/>
      <c r="L260" s="1357" t="s">
        <v>1028</v>
      </c>
      <c r="M260" s="1358"/>
      <c r="N260" s="1357" t="str">
        <f>N244</f>
        <v>Y</v>
      </c>
      <c r="O260" s="1358"/>
    </row>
    <row r="262" spans="1:16">
      <c r="M262" s="126"/>
      <c r="N262" s="126"/>
    </row>
    <row r="263" spans="1:16" ht="15" customHeight="1">
      <c r="A263" s="1517" t="s">
        <v>85</v>
      </c>
      <c r="B263" s="1518"/>
      <c r="C263" s="112" t="s">
        <v>25</v>
      </c>
      <c r="D263" s="819" t="s">
        <v>137</v>
      </c>
      <c r="E263" s="786" t="s">
        <v>138</v>
      </c>
      <c r="F263" s="787"/>
      <c r="G263" s="819" t="s">
        <v>26</v>
      </c>
      <c r="H263" s="819" t="s">
        <v>178</v>
      </c>
      <c r="I263" s="809"/>
      <c r="J263" s="17"/>
      <c r="K263" s="17"/>
      <c r="L263" s="32"/>
      <c r="M263" s="63"/>
      <c r="N263" s="14"/>
      <c r="O263" s="14"/>
    </row>
    <row r="264" spans="1:16" ht="15" customHeight="1">
      <c r="A264" s="1535" t="s">
        <v>86</v>
      </c>
      <c r="B264" s="1569"/>
      <c r="C264" s="1504" t="s">
        <v>24</v>
      </c>
      <c r="D264" s="781" t="s">
        <v>24</v>
      </c>
      <c r="E264" s="173" t="s">
        <v>338</v>
      </c>
      <c r="F264" s="173" t="s">
        <v>339</v>
      </c>
      <c r="G264" s="209" t="s">
        <v>177</v>
      </c>
      <c r="H264" s="209" t="s">
        <v>340</v>
      </c>
      <c r="J264" s="17"/>
      <c r="K264" s="423"/>
      <c r="L264" s="423"/>
      <c r="M264" s="423"/>
      <c r="N264" s="423"/>
      <c r="O264" s="423"/>
    </row>
    <row r="265" spans="1:16" ht="15" customHeight="1">
      <c r="A265" s="1570"/>
      <c r="B265" s="1571"/>
      <c r="C265" s="1551"/>
      <c r="D265" s="782"/>
      <c r="E265" s="780" t="s">
        <v>148</v>
      </c>
      <c r="F265" s="780" t="s">
        <v>148</v>
      </c>
      <c r="G265" s="174" t="s">
        <v>149</v>
      </c>
      <c r="H265" s="795" t="s">
        <v>128</v>
      </c>
      <c r="J265" s="17"/>
      <c r="K265" s="16"/>
      <c r="L265" s="424"/>
      <c r="M265" s="425"/>
      <c r="N265" s="425"/>
      <c r="O265" s="426"/>
    </row>
    <row r="266" spans="1:16" ht="15" customHeight="1">
      <c r="A266" s="1376" t="s">
        <v>34</v>
      </c>
      <c r="B266" s="1375" t="s">
        <v>809</v>
      </c>
      <c r="C266" s="774" t="s">
        <v>9</v>
      </c>
      <c r="D266" s="846" t="s">
        <v>618</v>
      </c>
      <c r="E266" s="476">
        <f>$L$268</f>
        <v>1.3595238095238096</v>
      </c>
      <c r="F266" s="799">
        <f>1/$N$251</f>
        <v>2.7777777777777777</v>
      </c>
      <c r="G266" s="476">
        <f>$O$251</f>
        <v>3.1500000000000004</v>
      </c>
      <c r="H266" s="783">
        <f>E266*G266+F266*G266</f>
        <v>13.032500000000001</v>
      </c>
      <c r="I266" s="796">
        <f>H266</f>
        <v>13.032500000000001</v>
      </c>
      <c r="J266" s="17"/>
      <c r="L266" s="199" t="s">
        <v>663</v>
      </c>
      <c r="M266" s="199" t="s">
        <v>173</v>
      </c>
      <c r="N266" s="200" t="s">
        <v>142</v>
      </c>
      <c r="O266" s="201" t="s">
        <v>608</v>
      </c>
      <c r="P266" s="200" t="s">
        <v>609</v>
      </c>
    </row>
    <row r="267" spans="1:16" ht="15" customHeight="1">
      <c r="A267" s="1376"/>
      <c r="B267" s="1375"/>
      <c r="C267" s="1552" t="s">
        <v>804</v>
      </c>
      <c r="D267" s="847" t="s">
        <v>619</v>
      </c>
      <c r="E267" s="848">
        <f>$L$269</f>
        <v>1.3092063492063493</v>
      </c>
      <c r="F267" s="800">
        <f>1/$N$252</f>
        <v>2.7777777777777777</v>
      </c>
      <c r="G267" s="784">
        <f>$O$252</f>
        <v>9.4500000000000011</v>
      </c>
      <c r="H267" s="784">
        <f>E267*G267+F267*G267</f>
        <v>38.622000000000007</v>
      </c>
      <c r="I267" s="797">
        <f>SUM(H267:H268)</f>
        <v>45.559666666666672</v>
      </c>
      <c r="J267" s="17"/>
      <c r="L267" s="553" t="s">
        <v>148</v>
      </c>
      <c r="M267" s="553" t="s">
        <v>148</v>
      </c>
      <c r="N267" s="175" t="s">
        <v>149</v>
      </c>
      <c r="O267" s="552" t="s">
        <v>148</v>
      </c>
      <c r="P267" s="175" t="s">
        <v>149</v>
      </c>
    </row>
    <row r="268" spans="1:16" ht="15" customHeight="1">
      <c r="A268" s="1376"/>
      <c r="B268" s="1375"/>
      <c r="C268" s="1552"/>
      <c r="D268" s="849" t="s">
        <v>631</v>
      </c>
      <c r="E268" s="555">
        <f>$L$270</f>
        <v>1.3517857142857144</v>
      </c>
      <c r="F268" s="800">
        <f>1/$N$253</f>
        <v>2.7777777777777777</v>
      </c>
      <c r="G268" s="784">
        <f>$O$253</f>
        <v>1.68</v>
      </c>
      <c r="H268" s="784">
        <f>E268*G268+F268*G268</f>
        <v>6.937666666666666</v>
      </c>
      <c r="I268" s="797"/>
      <c r="J268" s="17"/>
      <c r="K268" s="396" t="s">
        <v>618</v>
      </c>
      <c r="L268" s="228">
        <f>(N268*M268+P268*O268)/(N268+P268)</f>
        <v>1.3595238095238096</v>
      </c>
      <c r="M268" s="556">
        <f t="shared" ref="M268:N272" si="34">D251</f>
        <v>1.3</v>
      </c>
      <c r="N268" s="228">
        <f t="shared" si="34"/>
        <v>2.8375000000000004</v>
      </c>
      <c r="O268" s="167">
        <f t="shared" ref="O268:P272" si="35">I251</f>
        <v>1.9</v>
      </c>
      <c r="P268" s="551">
        <f t="shared" si="35"/>
        <v>0.3125</v>
      </c>
    </row>
    <row r="269" spans="1:16" ht="15" customHeight="1">
      <c r="A269" s="1376"/>
      <c r="B269" s="1375"/>
      <c r="C269" s="1496" t="s">
        <v>802</v>
      </c>
      <c r="D269" s="853" t="s">
        <v>858</v>
      </c>
      <c r="E269" s="555">
        <f>$L$271</f>
        <v>1.84375</v>
      </c>
      <c r="F269" s="800">
        <f>1/$N$254</f>
        <v>2.7777777777777777</v>
      </c>
      <c r="G269" s="784">
        <f>$O$254</f>
        <v>0.16000000000000003</v>
      </c>
      <c r="H269" s="784">
        <f>E269*G269+F269*G269</f>
        <v>0.73944444444444457</v>
      </c>
      <c r="I269" s="797">
        <f>SUM(H269:H270)</f>
        <v>7.6771111111111106</v>
      </c>
      <c r="J269" s="17"/>
      <c r="K269" s="397" t="s">
        <v>619</v>
      </c>
      <c r="L269" s="228">
        <f t="shared" ref="L269" si="36">(N269*M269+P269*O269)/(N269+P269)</f>
        <v>1.3092063492063493</v>
      </c>
      <c r="M269" s="556">
        <f t="shared" si="34"/>
        <v>1.3</v>
      </c>
      <c r="N269" s="228">
        <f t="shared" si="34"/>
        <v>9.3050000000000015</v>
      </c>
      <c r="O269" s="167">
        <f t="shared" si="35"/>
        <v>1.9</v>
      </c>
      <c r="P269" s="551">
        <f t="shared" si="35"/>
        <v>0.14500000000000002</v>
      </c>
    </row>
    <row r="270" spans="1:16">
      <c r="A270" s="1376"/>
      <c r="B270" s="1375"/>
      <c r="C270" s="1496"/>
      <c r="D270" s="849" t="s">
        <v>631</v>
      </c>
      <c r="E270" s="555">
        <f>$L$270</f>
        <v>1.3517857142857144</v>
      </c>
      <c r="F270" s="800">
        <f>1/$N$253</f>
        <v>2.7777777777777777</v>
      </c>
      <c r="G270" s="784">
        <f>$O$253</f>
        <v>1.68</v>
      </c>
      <c r="H270" s="784">
        <f>E270*G270+F270*G270</f>
        <v>6.937666666666666</v>
      </c>
      <c r="I270" s="797"/>
      <c r="J270" s="17"/>
      <c r="K270" s="844" t="s">
        <v>631</v>
      </c>
      <c r="L270" s="228">
        <f>(N270*M270+P270*O270)/(N270+P270)</f>
        <v>1.3517857142857144</v>
      </c>
      <c r="M270" s="556">
        <f t="shared" si="34"/>
        <v>1.3</v>
      </c>
      <c r="N270" s="228">
        <f t="shared" si="34"/>
        <v>1.5349999999999999</v>
      </c>
      <c r="O270" s="167">
        <f t="shared" si="35"/>
        <v>1.9</v>
      </c>
      <c r="P270" s="551">
        <f t="shared" si="35"/>
        <v>0.14500000000000002</v>
      </c>
    </row>
    <row r="271" spans="1:16">
      <c r="A271" s="1376"/>
      <c r="B271" s="1375"/>
      <c r="C271" s="776" t="s">
        <v>587</v>
      </c>
      <c r="D271" s="851" t="s">
        <v>859</v>
      </c>
      <c r="E271" s="555">
        <f>$L$272</f>
        <v>1.4674107142857145</v>
      </c>
      <c r="F271" s="800">
        <f>1/$N$255</f>
        <v>2.7777777777777777</v>
      </c>
      <c r="G271" s="784">
        <f>$O$255</f>
        <v>1.1199999999999999</v>
      </c>
      <c r="H271" s="784">
        <f t="shared" ref="H271:H275" si="37">E271*G271+F271*G271</f>
        <v>4.7546111111111102</v>
      </c>
      <c r="I271" s="797">
        <f>H271</f>
        <v>4.7546111111111102</v>
      </c>
      <c r="J271" s="17"/>
      <c r="K271" s="845" t="s">
        <v>858</v>
      </c>
      <c r="L271" s="228">
        <f t="shared" ref="L271:L272" si="38">(N271*M271+P271*O271)/(N271+P271)</f>
        <v>1.84375</v>
      </c>
      <c r="M271" s="556">
        <f t="shared" si="34"/>
        <v>1.3</v>
      </c>
      <c r="N271" s="228">
        <f t="shared" si="34"/>
        <v>1.5000000000000013E-2</v>
      </c>
      <c r="O271" s="167">
        <f t="shared" si="35"/>
        <v>1.9</v>
      </c>
      <c r="P271" s="773">
        <f t="shared" si="35"/>
        <v>0.14500000000000002</v>
      </c>
    </row>
    <row r="272" spans="1:16">
      <c r="A272" s="1376"/>
      <c r="B272" s="1375"/>
      <c r="C272" s="1496" t="s">
        <v>20</v>
      </c>
      <c r="D272" s="849" t="s">
        <v>631</v>
      </c>
      <c r="E272" s="784">
        <f>$L$270</f>
        <v>1.3517857142857144</v>
      </c>
      <c r="F272" s="800">
        <f>1/$N$253</f>
        <v>2.7777777777777777</v>
      </c>
      <c r="G272" s="784">
        <f>$O$253</f>
        <v>1.68</v>
      </c>
      <c r="H272" s="784">
        <f t="shared" si="37"/>
        <v>6.937666666666666</v>
      </c>
      <c r="I272" s="797">
        <f>SUM(H272:H274)</f>
        <v>12.43172222222222</v>
      </c>
      <c r="J272" s="17"/>
      <c r="K272" s="477" t="s">
        <v>859</v>
      </c>
      <c r="L272" s="228">
        <f t="shared" si="38"/>
        <v>1.4674107142857145</v>
      </c>
      <c r="M272" s="556">
        <f t="shared" si="34"/>
        <v>1.3</v>
      </c>
      <c r="N272" s="228">
        <f t="shared" si="34"/>
        <v>0.80749999999999988</v>
      </c>
      <c r="O272" s="167">
        <f t="shared" si="35"/>
        <v>1.9</v>
      </c>
      <c r="P272" s="773">
        <f t="shared" si="35"/>
        <v>0.3125</v>
      </c>
    </row>
    <row r="273" spans="1:15">
      <c r="A273" s="1376"/>
      <c r="B273" s="1375"/>
      <c r="C273" s="1496"/>
      <c r="D273" s="851" t="s">
        <v>859</v>
      </c>
      <c r="E273" s="784">
        <f>$L$272</f>
        <v>1.4674107142857145</v>
      </c>
      <c r="F273" s="800">
        <f>1/$N$255</f>
        <v>2.7777777777777777</v>
      </c>
      <c r="G273" s="784">
        <f>$O$255</f>
        <v>1.1199999999999999</v>
      </c>
      <c r="H273" s="784">
        <f t="shared" si="37"/>
        <v>4.7546111111111102</v>
      </c>
      <c r="I273" s="797"/>
      <c r="J273" s="17"/>
      <c r="K273" s="41"/>
      <c r="L273" s="41"/>
      <c r="M273" s="41"/>
      <c r="N273" s="41"/>
      <c r="O273" s="41"/>
    </row>
    <row r="274" spans="1:15">
      <c r="A274" s="1376"/>
      <c r="B274" s="1375"/>
      <c r="C274" s="1496"/>
      <c r="D274" s="853" t="s">
        <v>858</v>
      </c>
      <c r="E274" s="784">
        <f>$L$271</f>
        <v>1.84375</v>
      </c>
      <c r="F274" s="800">
        <f>1/$N$254</f>
        <v>2.7777777777777777</v>
      </c>
      <c r="G274" s="784">
        <f>$O$254</f>
        <v>0.16000000000000003</v>
      </c>
      <c r="H274" s="784">
        <f t="shared" si="37"/>
        <v>0.73944444444444457</v>
      </c>
      <c r="I274" s="797"/>
      <c r="J274" s="17"/>
      <c r="K274" s="41"/>
      <c r="L274" s="41"/>
      <c r="M274" s="41"/>
      <c r="N274" s="41"/>
      <c r="O274" s="41"/>
    </row>
    <row r="275" spans="1:15">
      <c r="A275" s="1376"/>
      <c r="B275" s="1375"/>
      <c r="C275" s="776" t="s">
        <v>586</v>
      </c>
      <c r="D275" s="854" t="s">
        <v>859</v>
      </c>
      <c r="E275" s="784">
        <f>$L$272</f>
        <v>1.4674107142857145</v>
      </c>
      <c r="F275" s="800">
        <f>1/$N$255</f>
        <v>2.7777777777777777</v>
      </c>
      <c r="G275" s="784">
        <f>$O$255</f>
        <v>1.1199999999999999</v>
      </c>
      <c r="H275" s="784">
        <f t="shared" si="37"/>
        <v>4.7546111111111102</v>
      </c>
      <c r="I275" s="797">
        <f>H275</f>
        <v>4.7546111111111102</v>
      </c>
      <c r="J275" s="17"/>
      <c r="K275" s="41"/>
      <c r="L275" s="41"/>
      <c r="M275" s="41"/>
      <c r="N275" s="41"/>
      <c r="O275" s="41"/>
    </row>
    <row r="276" spans="1:15">
      <c r="A276" s="1376"/>
      <c r="B276" s="1375"/>
      <c r="C276" s="775" t="s">
        <v>19</v>
      </c>
      <c r="D276" s="852" t="s">
        <v>631</v>
      </c>
      <c r="E276" s="785">
        <f>$L$270</f>
        <v>1.3517857142857144</v>
      </c>
      <c r="F276" s="801">
        <f>1/$N$253</f>
        <v>2.7777777777777777</v>
      </c>
      <c r="G276" s="785">
        <f>$O$253</f>
        <v>1.68</v>
      </c>
      <c r="H276" s="785">
        <f t="shared" ref="H276:H281" si="39">E276*G276+F276*G276</f>
        <v>6.937666666666666</v>
      </c>
      <c r="I276" s="798">
        <f>H276</f>
        <v>6.937666666666666</v>
      </c>
      <c r="J276" s="17"/>
      <c r="K276" s="41"/>
      <c r="L276" s="41"/>
      <c r="M276" s="41"/>
      <c r="N276" s="41"/>
      <c r="O276" s="41"/>
    </row>
    <row r="277" spans="1:15" ht="15" customHeight="1">
      <c r="A277" s="1376"/>
      <c r="B277" s="1490" t="s">
        <v>810</v>
      </c>
      <c r="C277" s="774" t="s">
        <v>9</v>
      </c>
      <c r="D277" s="846" t="s">
        <v>618</v>
      </c>
      <c r="E277" s="476">
        <f>$L$268</f>
        <v>1.3595238095238096</v>
      </c>
      <c r="F277" s="799">
        <f>1/$N$251</f>
        <v>2.7777777777777777</v>
      </c>
      <c r="G277" s="476">
        <f>$O$251</f>
        <v>3.1500000000000004</v>
      </c>
      <c r="H277" s="783">
        <f t="shared" si="39"/>
        <v>13.032500000000001</v>
      </c>
      <c r="I277" s="796">
        <f>H277</f>
        <v>13.032500000000001</v>
      </c>
      <c r="J277" s="17"/>
      <c r="K277" s="41"/>
      <c r="L277" s="41"/>
      <c r="M277" s="41"/>
      <c r="N277" s="41"/>
      <c r="O277" s="41"/>
    </row>
    <row r="278" spans="1:15">
      <c r="A278" s="1376"/>
      <c r="B278" s="1490"/>
      <c r="C278" s="1552" t="s">
        <v>804</v>
      </c>
      <c r="D278" s="847" t="s">
        <v>619</v>
      </c>
      <c r="E278" s="848">
        <f>$L$269</f>
        <v>1.3092063492063493</v>
      </c>
      <c r="F278" s="800">
        <f>1/$N$252</f>
        <v>2.7777777777777777</v>
      </c>
      <c r="G278" s="784">
        <f>$O$252</f>
        <v>9.4500000000000011</v>
      </c>
      <c r="H278" s="784">
        <f t="shared" si="39"/>
        <v>38.622000000000007</v>
      </c>
      <c r="I278" s="797">
        <f>SUM(H278:H279)</f>
        <v>45.559666666666672</v>
      </c>
      <c r="J278" s="17"/>
      <c r="K278" s="41"/>
      <c r="L278" s="41"/>
      <c r="M278" s="41"/>
      <c r="N278" s="41"/>
      <c r="O278" s="41"/>
    </row>
    <row r="279" spans="1:15">
      <c r="A279" s="1376"/>
      <c r="B279" s="1490"/>
      <c r="C279" s="1552"/>
      <c r="D279" s="849" t="s">
        <v>631</v>
      </c>
      <c r="E279" s="555">
        <f>$L$270</f>
        <v>1.3517857142857144</v>
      </c>
      <c r="F279" s="800">
        <f>1/$N$253</f>
        <v>2.7777777777777777</v>
      </c>
      <c r="G279" s="784">
        <f>$O$253</f>
        <v>1.68</v>
      </c>
      <c r="H279" s="784">
        <f t="shared" si="39"/>
        <v>6.937666666666666</v>
      </c>
      <c r="I279" s="797"/>
      <c r="J279" s="17"/>
      <c r="K279" s="41"/>
      <c r="L279" s="41"/>
      <c r="M279" s="41"/>
      <c r="N279" s="41"/>
      <c r="O279" s="41"/>
    </row>
    <row r="280" spans="1:15">
      <c r="A280" s="1376"/>
      <c r="B280" s="1490"/>
      <c r="C280" s="1496" t="s">
        <v>802</v>
      </c>
      <c r="D280" s="853" t="s">
        <v>858</v>
      </c>
      <c r="E280" s="555">
        <f>$L$271</f>
        <v>1.84375</v>
      </c>
      <c r="F280" s="800">
        <f>1/$N$254</f>
        <v>2.7777777777777777</v>
      </c>
      <c r="G280" s="784">
        <f>$O$254</f>
        <v>0.16000000000000003</v>
      </c>
      <c r="H280" s="784">
        <f t="shared" si="39"/>
        <v>0.73944444444444457</v>
      </c>
      <c r="I280" s="797">
        <f>SUM(H280:H281)</f>
        <v>7.6771111111111106</v>
      </c>
      <c r="J280" s="17"/>
      <c r="K280" s="41"/>
      <c r="L280" s="41"/>
      <c r="M280" s="41"/>
      <c r="N280" s="41"/>
      <c r="O280" s="41"/>
    </row>
    <row r="281" spans="1:15">
      <c r="A281" s="1376"/>
      <c r="B281" s="1490"/>
      <c r="C281" s="1496"/>
      <c r="D281" s="849" t="s">
        <v>631</v>
      </c>
      <c r="E281" s="555">
        <f>$L$270</f>
        <v>1.3517857142857144</v>
      </c>
      <c r="F281" s="800">
        <f>1/$N$253</f>
        <v>2.7777777777777777</v>
      </c>
      <c r="G281" s="784">
        <f>$O$253</f>
        <v>1.68</v>
      </c>
      <c r="H281" s="784">
        <f t="shared" si="39"/>
        <v>6.937666666666666</v>
      </c>
      <c r="I281" s="797"/>
      <c r="J281" s="17"/>
      <c r="K281" s="41"/>
      <c r="L281" s="41"/>
      <c r="M281" s="41"/>
      <c r="N281" s="41"/>
      <c r="O281" s="41"/>
    </row>
    <row r="282" spans="1:15">
      <c r="A282" s="1376"/>
      <c r="B282" s="1490"/>
      <c r="C282" s="776" t="s">
        <v>587</v>
      </c>
      <c r="D282" s="851" t="s">
        <v>859</v>
      </c>
      <c r="E282" s="555">
        <f>$L$272</f>
        <v>1.4674107142857145</v>
      </c>
      <c r="F282" s="800">
        <f>1/$N$255</f>
        <v>2.7777777777777777</v>
      </c>
      <c r="G282" s="784">
        <f>$O$255</f>
        <v>1.1199999999999999</v>
      </c>
      <c r="H282" s="784">
        <f t="shared" ref="H282:H286" si="40">E282*G282+F282*G282</f>
        <v>4.7546111111111102</v>
      </c>
      <c r="I282" s="797">
        <f>H282</f>
        <v>4.7546111111111102</v>
      </c>
      <c r="J282" s="17"/>
      <c r="K282" s="41"/>
      <c r="L282" s="41"/>
      <c r="M282" s="41"/>
      <c r="N282" s="41"/>
      <c r="O282" s="41"/>
    </row>
    <row r="283" spans="1:15">
      <c r="A283" s="1376"/>
      <c r="B283" s="1490"/>
      <c r="C283" s="1496" t="s">
        <v>20</v>
      </c>
      <c r="D283" s="849" t="s">
        <v>631</v>
      </c>
      <c r="E283" s="784">
        <f>$L$270</f>
        <v>1.3517857142857144</v>
      </c>
      <c r="F283" s="800">
        <f>1/$N$253</f>
        <v>2.7777777777777777</v>
      </c>
      <c r="G283" s="784">
        <f>$O$253</f>
        <v>1.68</v>
      </c>
      <c r="H283" s="784">
        <f t="shared" si="40"/>
        <v>6.937666666666666</v>
      </c>
      <c r="I283" s="797">
        <f>SUM(H283:H285)</f>
        <v>12.43172222222222</v>
      </c>
      <c r="J283" s="17"/>
      <c r="K283" s="41"/>
      <c r="L283" s="41"/>
      <c r="M283" s="41"/>
      <c r="N283" s="41"/>
      <c r="O283" s="41"/>
    </row>
    <row r="284" spans="1:15">
      <c r="A284" s="1376"/>
      <c r="B284" s="1490"/>
      <c r="C284" s="1496"/>
      <c r="D284" s="851" t="s">
        <v>859</v>
      </c>
      <c r="E284" s="784">
        <f>$L$272</f>
        <v>1.4674107142857145</v>
      </c>
      <c r="F284" s="800">
        <f>1/$N$255</f>
        <v>2.7777777777777777</v>
      </c>
      <c r="G284" s="784">
        <f>$O$255</f>
        <v>1.1199999999999999</v>
      </c>
      <c r="H284" s="784">
        <f t="shared" si="40"/>
        <v>4.7546111111111102</v>
      </c>
      <c r="I284" s="797"/>
      <c r="J284" s="17"/>
      <c r="K284" s="41"/>
      <c r="L284" s="41"/>
      <c r="M284" s="41"/>
      <c r="N284" s="41"/>
      <c r="O284" s="41"/>
    </row>
    <row r="285" spans="1:15">
      <c r="A285" s="1376"/>
      <c r="B285" s="1490"/>
      <c r="C285" s="1496"/>
      <c r="D285" s="853" t="s">
        <v>858</v>
      </c>
      <c r="E285" s="784">
        <f>$L$271</f>
        <v>1.84375</v>
      </c>
      <c r="F285" s="800">
        <f>1/$N$254</f>
        <v>2.7777777777777777</v>
      </c>
      <c r="G285" s="784">
        <f>$O$254</f>
        <v>0.16000000000000003</v>
      </c>
      <c r="H285" s="784">
        <f t="shared" si="40"/>
        <v>0.73944444444444457</v>
      </c>
      <c r="I285" s="797"/>
      <c r="J285" s="17"/>
      <c r="K285" s="41"/>
      <c r="L285" s="41"/>
      <c r="M285" s="41"/>
      <c r="N285" s="41"/>
      <c r="O285" s="41"/>
    </row>
    <row r="286" spans="1:15">
      <c r="A286" s="1376"/>
      <c r="B286" s="1490"/>
      <c r="C286" s="776" t="s">
        <v>586</v>
      </c>
      <c r="D286" s="851" t="s">
        <v>859</v>
      </c>
      <c r="E286" s="784">
        <f>$L$272</f>
        <v>1.4674107142857145</v>
      </c>
      <c r="F286" s="800">
        <f>1/$N$255</f>
        <v>2.7777777777777777</v>
      </c>
      <c r="G286" s="784">
        <f>$O$255</f>
        <v>1.1199999999999999</v>
      </c>
      <c r="H286" s="784">
        <f t="shared" si="40"/>
        <v>4.7546111111111102</v>
      </c>
      <c r="I286" s="797">
        <f>H286</f>
        <v>4.7546111111111102</v>
      </c>
      <c r="J286" s="17"/>
      <c r="K286" s="41"/>
      <c r="L286" s="41"/>
      <c r="M286" s="41"/>
      <c r="N286" s="41"/>
      <c r="O286" s="41"/>
    </row>
    <row r="287" spans="1:15" ht="15" customHeight="1">
      <c r="A287" s="1376"/>
      <c r="B287" s="1490"/>
      <c r="C287" s="775" t="s">
        <v>19</v>
      </c>
      <c r="D287" s="852" t="s">
        <v>631</v>
      </c>
      <c r="E287" s="785">
        <f>$L$270</f>
        <v>1.3517857142857144</v>
      </c>
      <c r="F287" s="801">
        <f>1/$N$253</f>
        <v>2.7777777777777777</v>
      </c>
      <c r="G287" s="785">
        <f>$O$253</f>
        <v>1.68</v>
      </c>
      <c r="H287" s="785">
        <f t="shared" ref="H287:H292" si="41">E287*G287+F287*G287</f>
        <v>6.937666666666666</v>
      </c>
      <c r="I287" s="798">
        <f>H287</f>
        <v>6.937666666666666</v>
      </c>
      <c r="J287" s="17"/>
      <c r="K287" s="427"/>
      <c r="L287" s="428"/>
      <c r="M287" s="17"/>
      <c r="N287" s="428"/>
      <c r="O287" s="41"/>
    </row>
    <row r="288" spans="1:15" ht="15" customHeight="1">
      <c r="A288" s="1377" t="s">
        <v>860</v>
      </c>
      <c r="B288" s="1375" t="s">
        <v>809</v>
      </c>
      <c r="C288" s="774" t="s">
        <v>9</v>
      </c>
      <c r="D288" s="846" t="s">
        <v>618</v>
      </c>
      <c r="E288" s="476">
        <f>$L$268</f>
        <v>1.3595238095238096</v>
      </c>
      <c r="F288" s="799">
        <f>1/$N$251</f>
        <v>2.7777777777777777</v>
      </c>
      <c r="G288" s="476">
        <f>$O$251</f>
        <v>3.1500000000000004</v>
      </c>
      <c r="H288" s="783">
        <f t="shared" si="41"/>
        <v>13.032500000000001</v>
      </c>
      <c r="I288" s="796">
        <f>H288</f>
        <v>13.032500000000001</v>
      </c>
      <c r="J288" s="17"/>
      <c r="K288" s="427"/>
      <c r="L288" s="428"/>
      <c r="M288" s="17"/>
      <c r="N288" s="428"/>
      <c r="O288" s="41"/>
    </row>
    <row r="289" spans="1:15" ht="15" customHeight="1">
      <c r="A289" s="1376"/>
      <c r="B289" s="1375"/>
      <c r="C289" s="1552" t="s">
        <v>804</v>
      </c>
      <c r="D289" s="847" t="s">
        <v>619</v>
      </c>
      <c r="E289" s="848">
        <f>$L$269</f>
        <v>1.3092063492063493</v>
      </c>
      <c r="F289" s="800">
        <f>1/$N$252</f>
        <v>2.7777777777777777</v>
      </c>
      <c r="G289" s="784">
        <f>$O$252</f>
        <v>9.4500000000000011</v>
      </c>
      <c r="H289" s="784">
        <f t="shared" si="41"/>
        <v>38.622000000000007</v>
      </c>
      <c r="I289" s="797">
        <f>SUM(H289:H290)</f>
        <v>45.559666666666672</v>
      </c>
      <c r="J289" s="17"/>
      <c r="K289" s="429"/>
      <c r="L289" s="65"/>
      <c r="M289" s="17"/>
      <c r="N289" s="17"/>
      <c r="O289" s="41"/>
    </row>
    <row r="290" spans="1:15">
      <c r="A290" s="1376"/>
      <c r="B290" s="1375"/>
      <c r="C290" s="1552"/>
      <c r="D290" s="849" t="s">
        <v>631</v>
      </c>
      <c r="E290" s="555">
        <f>$L$270</f>
        <v>1.3517857142857144</v>
      </c>
      <c r="F290" s="800">
        <f>1/$N$253</f>
        <v>2.7777777777777777</v>
      </c>
      <c r="G290" s="784">
        <f>$O$253</f>
        <v>1.68</v>
      </c>
      <c r="H290" s="784">
        <f t="shared" si="41"/>
        <v>6.937666666666666</v>
      </c>
      <c r="I290" s="797"/>
      <c r="J290" s="17"/>
      <c r="K290" s="429"/>
      <c r="L290" s="65"/>
      <c r="M290" s="17"/>
      <c r="N290" s="17"/>
      <c r="O290" s="41"/>
    </row>
    <row r="291" spans="1:15">
      <c r="A291" s="1376"/>
      <c r="B291" s="1375"/>
      <c r="C291" s="1496" t="s">
        <v>802</v>
      </c>
      <c r="D291" s="853" t="s">
        <v>858</v>
      </c>
      <c r="E291" s="555">
        <f>$L$271</f>
        <v>1.84375</v>
      </c>
      <c r="F291" s="800">
        <f>1/$N$254</f>
        <v>2.7777777777777777</v>
      </c>
      <c r="G291" s="784">
        <f>$O$254</f>
        <v>0.16000000000000003</v>
      </c>
      <c r="H291" s="784">
        <f t="shared" si="41"/>
        <v>0.73944444444444457</v>
      </c>
      <c r="I291" s="797">
        <f>SUM(H291:H292)</f>
        <v>7.6771111111111106</v>
      </c>
      <c r="J291" s="17"/>
      <c r="K291" s="429"/>
      <c r="L291" s="65"/>
      <c r="M291" s="17"/>
      <c r="N291" s="17"/>
      <c r="O291" s="41"/>
    </row>
    <row r="292" spans="1:15">
      <c r="A292" s="1376"/>
      <c r="B292" s="1375"/>
      <c r="C292" s="1496"/>
      <c r="D292" s="849" t="s">
        <v>631</v>
      </c>
      <c r="E292" s="555">
        <f>$L$270</f>
        <v>1.3517857142857144</v>
      </c>
      <c r="F292" s="800">
        <f>1/$N$253</f>
        <v>2.7777777777777777</v>
      </c>
      <c r="G292" s="784">
        <f>$O$253</f>
        <v>1.68</v>
      </c>
      <c r="H292" s="784">
        <f t="shared" si="41"/>
        <v>6.937666666666666</v>
      </c>
      <c r="I292" s="797"/>
      <c r="J292" s="17"/>
      <c r="K292" s="429"/>
      <c r="L292" s="65"/>
      <c r="M292" s="17"/>
      <c r="N292" s="17"/>
      <c r="O292" s="41"/>
    </row>
    <row r="293" spans="1:15" ht="15" customHeight="1">
      <c r="A293" s="1376"/>
      <c r="B293" s="1375"/>
      <c r="C293" s="776" t="s">
        <v>587</v>
      </c>
      <c r="D293" s="851" t="s">
        <v>859</v>
      </c>
      <c r="E293" s="555">
        <f>$L$272</f>
        <v>1.4674107142857145</v>
      </c>
      <c r="F293" s="800">
        <f>1/$N$255</f>
        <v>2.7777777777777777</v>
      </c>
      <c r="G293" s="784">
        <f>$O$255</f>
        <v>1.1199999999999999</v>
      </c>
      <c r="H293" s="784">
        <f t="shared" ref="H293:H297" si="42">E293*G293+F293*G293</f>
        <v>4.7546111111111102</v>
      </c>
      <c r="I293" s="797">
        <f>H293</f>
        <v>4.7546111111111102</v>
      </c>
      <c r="J293" s="17"/>
      <c r="K293" s="429"/>
      <c r="L293" s="65"/>
      <c r="M293" s="17"/>
      <c r="N293" s="17"/>
      <c r="O293" s="41"/>
    </row>
    <row r="294" spans="1:15" ht="15" customHeight="1">
      <c r="A294" s="1376"/>
      <c r="B294" s="1375"/>
      <c r="C294" s="1496" t="s">
        <v>20</v>
      </c>
      <c r="D294" s="849" t="s">
        <v>631</v>
      </c>
      <c r="E294" s="784">
        <f>$L$270</f>
        <v>1.3517857142857144</v>
      </c>
      <c r="F294" s="800">
        <f>1/$N$253</f>
        <v>2.7777777777777777</v>
      </c>
      <c r="G294" s="784">
        <f>$O$253</f>
        <v>1.68</v>
      </c>
      <c r="H294" s="784">
        <f t="shared" si="42"/>
        <v>6.937666666666666</v>
      </c>
      <c r="I294" s="797">
        <f>SUM(H294:H296)</f>
        <v>12.43172222222222</v>
      </c>
      <c r="J294" s="17"/>
      <c r="K294" s="429"/>
      <c r="L294" s="65"/>
      <c r="M294" s="17"/>
      <c r="N294" s="17"/>
      <c r="O294" s="41"/>
    </row>
    <row r="295" spans="1:15" ht="15" customHeight="1">
      <c r="A295" s="1376"/>
      <c r="B295" s="1375"/>
      <c r="C295" s="1496"/>
      <c r="D295" s="851" t="s">
        <v>859</v>
      </c>
      <c r="E295" s="784">
        <f>$L$272</f>
        <v>1.4674107142857145</v>
      </c>
      <c r="F295" s="800">
        <f>1/$N$255</f>
        <v>2.7777777777777777</v>
      </c>
      <c r="G295" s="784">
        <f>$O$255</f>
        <v>1.1199999999999999</v>
      </c>
      <c r="H295" s="784">
        <f t="shared" si="42"/>
        <v>4.7546111111111102</v>
      </c>
      <c r="I295" s="797"/>
      <c r="J295" s="17"/>
      <c r="K295" s="429"/>
      <c r="L295" s="65"/>
      <c r="M295" s="17"/>
      <c r="N295" s="17"/>
      <c r="O295" s="41"/>
    </row>
    <row r="296" spans="1:15" ht="15" customHeight="1">
      <c r="A296" s="1376"/>
      <c r="B296" s="1375"/>
      <c r="C296" s="1496"/>
      <c r="D296" s="853" t="s">
        <v>858</v>
      </c>
      <c r="E296" s="784">
        <f>$L$271</f>
        <v>1.84375</v>
      </c>
      <c r="F296" s="800">
        <f>1/$N$254</f>
        <v>2.7777777777777777</v>
      </c>
      <c r="G296" s="784">
        <f>$O$254</f>
        <v>0.16000000000000003</v>
      </c>
      <c r="H296" s="784">
        <f t="shared" si="42"/>
        <v>0.73944444444444457</v>
      </c>
      <c r="I296" s="797"/>
      <c r="J296" s="17"/>
      <c r="K296" s="429"/>
      <c r="L296" s="65"/>
      <c r="M296" s="17"/>
      <c r="N296" s="17"/>
      <c r="O296" s="41"/>
    </row>
    <row r="297" spans="1:15" ht="15" customHeight="1">
      <c r="A297" s="1376"/>
      <c r="B297" s="1375"/>
      <c r="C297" s="776" t="s">
        <v>586</v>
      </c>
      <c r="D297" s="851" t="s">
        <v>859</v>
      </c>
      <c r="E297" s="784">
        <f>$L$272</f>
        <v>1.4674107142857145</v>
      </c>
      <c r="F297" s="800">
        <f>1/$N$255</f>
        <v>2.7777777777777777</v>
      </c>
      <c r="G297" s="784">
        <f>$O$255</f>
        <v>1.1199999999999999</v>
      </c>
      <c r="H297" s="784">
        <f t="shared" si="42"/>
        <v>4.7546111111111102</v>
      </c>
      <c r="I297" s="797">
        <f>H297</f>
        <v>4.7546111111111102</v>
      </c>
      <c r="J297" s="17"/>
      <c r="K297" s="429"/>
      <c r="L297" s="65"/>
      <c r="M297" s="17"/>
      <c r="N297" s="17"/>
      <c r="O297" s="41"/>
    </row>
    <row r="298" spans="1:15" ht="15" customHeight="1">
      <c r="A298" s="1376"/>
      <c r="B298" s="1375"/>
      <c r="C298" s="775" t="s">
        <v>19</v>
      </c>
      <c r="D298" s="852" t="s">
        <v>631</v>
      </c>
      <c r="E298" s="785">
        <f>$L$270</f>
        <v>1.3517857142857144</v>
      </c>
      <c r="F298" s="801">
        <f>1/$N$253</f>
        <v>2.7777777777777777</v>
      </c>
      <c r="G298" s="785">
        <f>$O$253</f>
        <v>1.68</v>
      </c>
      <c r="H298" s="785">
        <f t="shared" ref="H298:H303" si="43">E298*G298+F298*G298</f>
        <v>6.937666666666666</v>
      </c>
      <c r="I298" s="798">
        <f>H298</f>
        <v>6.937666666666666</v>
      </c>
      <c r="J298" s="17"/>
      <c r="K298" s="429"/>
      <c r="L298" s="65"/>
      <c r="M298" s="17"/>
      <c r="N298" s="17"/>
      <c r="O298" s="41"/>
    </row>
    <row r="299" spans="1:15" ht="15" customHeight="1">
      <c r="A299" s="1376"/>
      <c r="B299" s="1490" t="s">
        <v>810</v>
      </c>
      <c r="C299" s="774" t="s">
        <v>9</v>
      </c>
      <c r="D299" s="846" t="s">
        <v>618</v>
      </c>
      <c r="E299" s="476">
        <f>$L$268</f>
        <v>1.3595238095238096</v>
      </c>
      <c r="F299" s="799">
        <f>1/$N$251</f>
        <v>2.7777777777777777</v>
      </c>
      <c r="G299" s="476">
        <f>$O$251</f>
        <v>3.1500000000000004</v>
      </c>
      <c r="H299" s="783">
        <f t="shared" si="43"/>
        <v>13.032500000000001</v>
      </c>
      <c r="I299" s="796">
        <f>H299</f>
        <v>13.032500000000001</v>
      </c>
      <c r="J299" s="17"/>
      <c r="K299" s="429"/>
      <c r="L299" s="65"/>
      <c r="M299" s="17"/>
      <c r="N299" s="17"/>
      <c r="O299" s="41"/>
    </row>
    <row r="300" spans="1:15" ht="15" customHeight="1">
      <c r="A300" s="1376"/>
      <c r="B300" s="1490"/>
      <c r="C300" s="1552" t="s">
        <v>804</v>
      </c>
      <c r="D300" s="847" t="s">
        <v>619</v>
      </c>
      <c r="E300" s="848">
        <f>$L$269</f>
        <v>1.3092063492063493</v>
      </c>
      <c r="F300" s="800">
        <f>1/$N$252</f>
        <v>2.7777777777777777</v>
      </c>
      <c r="G300" s="784">
        <f>$O$252</f>
        <v>9.4500000000000011</v>
      </c>
      <c r="H300" s="784">
        <f t="shared" si="43"/>
        <v>38.622000000000007</v>
      </c>
      <c r="I300" s="797">
        <f>SUM(H300:H301)</f>
        <v>45.559666666666672</v>
      </c>
      <c r="J300" s="17"/>
      <c r="K300" s="429"/>
      <c r="L300" s="65"/>
      <c r="M300" s="17"/>
      <c r="N300" s="17"/>
      <c r="O300" s="41"/>
    </row>
    <row r="301" spans="1:15" ht="15" customHeight="1">
      <c r="A301" s="1376"/>
      <c r="B301" s="1490"/>
      <c r="C301" s="1552"/>
      <c r="D301" s="849" t="s">
        <v>631</v>
      </c>
      <c r="E301" s="555">
        <f>$L$270</f>
        <v>1.3517857142857144</v>
      </c>
      <c r="F301" s="800">
        <f>1/$N$253</f>
        <v>2.7777777777777777</v>
      </c>
      <c r="G301" s="784">
        <f>$O$253</f>
        <v>1.68</v>
      </c>
      <c r="H301" s="784">
        <f t="shared" si="43"/>
        <v>6.937666666666666</v>
      </c>
      <c r="I301" s="797"/>
      <c r="J301" s="17"/>
      <c r="K301" s="429"/>
      <c r="L301" s="65"/>
      <c r="M301" s="17"/>
      <c r="N301" s="17"/>
      <c r="O301" s="41"/>
    </row>
    <row r="302" spans="1:15" ht="15" customHeight="1">
      <c r="A302" s="1376"/>
      <c r="B302" s="1490"/>
      <c r="C302" s="1496" t="s">
        <v>802</v>
      </c>
      <c r="D302" s="853" t="s">
        <v>858</v>
      </c>
      <c r="E302" s="555">
        <f>$L$271</f>
        <v>1.84375</v>
      </c>
      <c r="F302" s="800">
        <f>1/$N$254</f>
        <v>2.7777777777777777</v>
      </c>
      <c r="G302" s="784">
        <f>$O$254</f>
        <v>0.16000000000000003</v>
      </c>
      <c r="H302" s="784">
        <f t="shared" si="43"/>
        <v>0.73944444444444457</v>
      </c>
      <c r="I302" s="797">
        <f>SUM(H302:H303)</f>
        <v>7.6771111111111106</v>
      </c>
      <c r="J302" s="17"/>
      <c r="K302" s="429"/>
      <c r="L302" s="65"/>
      <c r="M302" s="17"/>
      <c r="N302" s="17"/>
      <c r="O302" s="41"/>
    </row>
    <row r="303" spans="1:15" ht="15" customHeight="1">
      <c r="A303" s="1376"/>
      <c r="B303" s="1490"/>
      <c r="C303" s="1496"/>
      <c r="D303" s="849" t="s">
        <v>631</v>
      </c>
      <c r="E303" s="555">
        <f>$L$270</f>
        <v>1.3517857142857144</v>
      </c>
      <c r="F303" s="800">
        <f>1/$N$253</f>
        <v>2.7777777777777777</v>
      </c>
      <c r="G303" s="784">
        <f>$O$253</f>
        <v>1.68</v>
      </c>
      <c r="H303" s="784">
        <f t="shared" si="43"/>
        <v>6.937666666666666</v>
      </c>
      <c r="I303" s="797"/>
      <c r="J303" s="17"/>
      <c r="K303" s="429"/>
      <c r="L303" s="65"/>
      <c r="M303" s="17"/>
      <c r="N303" s="17"/>
      <c r="O303" s="41"/>
    </row>
    <row r="304" spans="1:15" ht="15" customHeight="1">
      <c r="A304" s="1376"/>
      <c r="B304" s="1490"/>
      <c r="C304" s="776" t="s">
        <v>587</v>
      </c>
      <c r="D304" s="851" t="s">
        <v>859</v>
      </c>
      <c r="E304" s="555">
        <f>$L$272</f>
        <v>1.4674107142857145</v>
      </c>
      <c r="F304" s="800">
        <f>1/$N$255</f>
        <v>2.7777777777777777</v>
      </c>
      <c r="G304" s="784">
        <f>$O$255</f>
        <v>1.1199999999999999</v>
      </c>
      <c r="H304" s="784">
        <f t="shared" ref="H304:H308" si="44">E304*G304+F304*G304</f>
        <v>4.7546111111111102</v>
      </c>
      <c r="I304" s="797">
        <f>H304</f>
        <v>4.7546111111111102</v>
      </c>
      <c r="J304" s="17"/>
      <c r="K304" s="429"/>
      <c r="L304" s="65"/>
      <c r="M304" s="17"/>
      <c r="N304" s="17"/>
      <c r="O304" s="41"/>
    </row>
    <row r="305" spans="1:20" ht="15" customHeight="1">
      <c r="A305" s="1376"/>
      <c r="B305" s="1490"/>
      <c r="C305" s="1496" t="s">
        <v>20</v>
      </c>
      <c r="D305" s="849" t="s">
        <v>631</v>
      </c>
      <c r="E305" s="784">
        <f>$L$270</f>
        <v>1.3517857142857144</v>
      </c>
      <c r="F305" s="800">
        <f>1/$N$253</f>
        <v>2.7777777777777777</v>
      </c>
      <c r="G305" s="784">
        <f>$O$253</f>
        <v>1.68</v>
      </c>
      <c r="H305" s="784">
        <f t="shared" si="44"/>
        <v>6.937666666666666</v>
      </c>
      <c r="I305" s="797">
        <f>SUM(H305:H307)</f>
        <v>12.43172222222222</v>
      </c>
      <c r="J305" s="17"/>
      <c r="K305" s="429"/>
      <c r="L305" s="65"/>
      <c r="M305" s="17"/>
      <c r="N305" s="17"/>
      <c r="O305" s="41"/>
    </row>
    <row r="306" spans="1:20" ht="15" customHeight="1">
      <c r="A306" s="1376"/>
      <c r="B306" s="1490"/>
      <c r="C306" s="1496"/>
      <c r="D306" s="851" t="s">
        <v>859</v>
      </c>
      <c r="E306" s="784">
        <f>$L$272</f>
        <v>1.4674107142857145</v>
      </c>
      <c r="F306" s="800">
        <f>1/$N$255</f>
        <v>2.7777777777777777</v>
      </c>
      <c r="G306" s="784">
        <f>$O$255</f>
        <v>1.1199999999999999</v>
      </c>
      <c r="H306" s="784">
        <f t="shared" si="44"/>
        <v>4.7546111111111102</v>
      </c>
      <c r="I306" s="797"/>
      <c r="J306" s="17"/>
      <c r="K306" s="429"/>
      <c r="L306" s="65"/>
      <c r="M306" s="17"/>
      <c r="N306" s="17"/>
      <c r="O306" s="41"/>
    </row>
    <row r="307" spans="1:20" ht="15" customHeight="1">
      <c r="A307" s="1376"/>
      <c r="B307" s="1490"/>
      <c r="C307" s="1496"/>
      <c r="D307" s="853" t="s">
        <v>858</v>
      </c>
      <c r="E307" s="784">
        <f>$L$271</f>
        <v>1.84375</v>
      </c>
      <c r="F307" s="800">
        <f>1/$N$254</f>
        <v>2.7777777777777777</v>
      </c>
      <c r="G307" s="784">
        <f>$O$254</f>
        <v>0.16000000000000003</v>
      </c>
      <c r="H307" s="784">
        <f t="shared" si="44"/>
        <v>0.73944444444444457</v>
      </c>
      <c r="I307" s="797"/>
      <c r="J307" s="17"/>
      <c r="K307" s="429"/>
      <c r="L307" s="65"/>
      <c r="M307" s="17"/>
      <c r="N307" s="17"/>
      <c r="O307" s="41"/>
    </row>
    <row r="308" spans="1:20" ht="15" customHeight="1">
      <c r="A308" s="1376"/>
      <c r="B308" s="1490"/>
      <c r="C308" s="776" t="s">
        <v>586</v>
      </c>
      <c r="D308" s="851" t="s">
        <v>859</v>
      </c>
      <c r="E308" s="784">
        <f>$L$272</f>
        <v>1.4674107142857145</v>
      </c>
      <c r="F308" s="800">
        <f>1/$N$255</f>
        <v>2.7777777777777777</v>
      </c>
      <c r="G308" s="784">
        <f>$O$255</f>
        <v>1.1199999999999999</v>
      </c>
      <c r="H308" s="784">
        <f t="shared" si="44"/>
        <v>4.7546111111111102</v>
      </c>
      <c r="I308" s="797">
        <f>H308</f>
        <v>4.7546111111111102</v>
      </c>
      <c r="J308" s="17"/>
      <c r="K308" s="429"/>
      <c r="L308" s="65"/>
      <c r="M308" s="17"/>
      <c r="N308" s="17"/>
      <c r="O308" s="41"/>
    </row>
    <row r="309" spans="1:20" ht="15" customHeight="1">
      <c r="A309" s="1376"/>
      <c r="B309" s="1490"/>
      <c r="C309" s="775" t="s">
        <v>19</v>
      </c>
      <c r="D309" s="852" t="s">
        <v>631</v>
      </c>
      <c r="E309" s="785">
        <f>$L$270</f>
        <v>1.3517857142857144</v>
      </c>
      <c r="F309" s="801">
        <f>1/$N$253</f>
        <v>2.7777777777777777</v>
      </c>
      <c r="G309" s="785">
        <f>$O$253</f>
        <v>1.68</v>
      </c>
      <c r="H309" s="785">
        <f t="shared" ref="H309:H314" si="45">E309*G309+F309*G309</f>
        <v>6.937666666666666</v>
      </c>
      <c r="I309" s="798">
        <f>H309</f>
        <v>6.937666666666666</v>
      </c>
      <c r="J309" s="17"/>
      <c r="K309" s="429"/>
      <c r="L309" s="65"/>
      <c r="M309" s="17"/>
      <c r="N309" s="17"/>
      <c r="O309" s="41"/>
    </row>
    <row r="310" spans="1:20" ht="15" customHeight="1">
      <c r="A310" s="1377" t="s">
        <v>845</v>
      </c>
      <c r="B310" s="1375" t="s">
        <v>809</v>
      </c>
      <c r="C310" s="774" t="s">
        <v>9</v>
      </c>
      <c r="D310" s="846" t="s">
        <v>618</v>
      </c>
      <c r="E310" s="476">
        <f>$L$268</f>
        <v>1.3595238095238096</v>
      </c>
      <c r="F310" s="799">
        <f>1/$N$251</f>
        <v>2.7777777777777777</v>
      </c>
      <c r="G310" s="476">
        <f>$O$251</f>
        <v>3.1500000000000004</v>
      </c>
      <c r="H310" s="783">
        <f t="shared" si="45"/>
        <v>13.032500000000001</v>
      </c>
      <c r="I310" s="796">
        <f>H310</f>
        <v>13.032500000000001</v>
      </c>
      <c r="J310" s="17"/>
      <c r="K310" s="429"/>
      <c r="L310" s="65"/>
      <c r="M310" s="17"/>
      <c r="N310" s="17"/>
      <c r="O310" s="41"/>
    </row>
    <row r="311" spans="1:20" ht="15" customHeight="1">
      <c r="A311" s="1376"/>
      <c r="B311" s="1375"/>
      <c r="C311" s="1552" t="s">
        <v>804</v>
      </c>
      <c r="D311" s="847" t="s">
        <v>619</v>
      </c>
      <c r="E311" s="848">
        <f>$L$269</f>
        <v>1.3092063492063493</v>
      </c>
      <c r="F311" s="800">
        <f>1/$N$252</f>
        <v>2.7777777777777777</v>
      </c>
      <c r="G311" s="784">
        <f>$O$252</f>
        <v>9.4500000000000011</v>
      </c>
      <c r="H311" s="784">
        <f t="shared" si="45"/>
        <v>38.622000000000007</v>
      </c>
      <c r="I311" s="797">
        <f>SUM(H311:H312)</f>
        <v>45.559666666666672</v>
      </c>
      <c r="J311" s="17"/>
      <c r="K311" s="429"/>
      <c r="L311" s="65"/>
      <c r="M311" s="17"/>
      <c r="N311" s="17"/>
      <c r="O311" s="41"/>
    </row>
    <row r="312" spans="1:20" ht="15" customHeight="1">
      <c r="A312" s="1376"/>
      <c r="B312" s="1375"/>
      <c r="C312" s="1552"/>
      <c r="D312" s="849" t="s">
        <v>631</v>
      </c>
      <c r="E312" s="555">
        <f>$L$270</f>
        <v>1.3517857142857144</v>
      </c>
      <c r="F312" s="800">
        <f>1/$N$253</f>
        <v>2.7777777777777777</v>
      </c>
      <c r="G312" s="784">
        <f>$O$253</f>
        <v>1.68</v>
      </c>
      <c r="H312" s="784">
        <f t="shared" si="45"/>
        <v>6.937666666666666</v>
      </c>
      <c r="I312" s="797"/>
      <c r="Q312" s="55"/>
      <c r="S312" s="50"/>
      <c r="T312" s="50"/>
    </row>
    <row r="313" spans="1:20" ht="15" customHeight="1">
      <c r="A313" s="1376"/>
      <c r="B313" s="1375"/>
      <c r="C313" s="1496" t="s">
        <v>802</v>
      </c>
      <c r="D313" s="853" t="s">
        <v>858</v>
      </c>
      <c r="E313" s="555">
        <f>$L$271</f>
        <v>1.84375</v>
      </c>
      <c r="F313" s="800">
        <f>1/$N$254</f>
        <v>2.7777777777777777</v>
      </c>
      <c r="G313" s="784">
        <f>$O$254</f>
        <v>0.16000000000000003</v>
      </c>
      <c r="H313" s="784">
        <f t="shared" si="45"/>
        <v>0.73944444444444457</v>
      </c>
      <c r="I313" s="797">
        <f>SUM(H313:H314)</f>
        <v>7.6771111111111106</v>
      </c>
      <c r="Q313" s="55"/>
      <c r="S313" s="50"/>
      <c r="T313" s="50"/>
    </row>
    <row r="314" spans="1:20" ht="15" customHeight="1">
      <c r="A314" s="1376"/>
      <c r="B314" s="1375"/>
      <c r="C314" s="1496"/>
      <c r="D314" s="849" t="s">
        <v>631</v>
      </c>
      <c r="E314" s="555">
        <f>$L$270</f>
        <v>1.3517857142857144</v>
      </c>
      <c r="F314" s="800">
        <f>1/$N$253</f>
        <v>2.7777777777777777</v>
      </c>
      <c r="G314" s="784">
        <f>$O$253</f>
        <v>1.68</v>
      </c>
      <c r="H314" s="784">
        <f t="shared" si="45"/>
        <v>6.937666666666666</v>
      </c>
      <c r="I314" s="797"/>
    </row>
    <row r="315" spans="1:20" ht="15" customHeight="1">
      <c r="A315" s="1376"/>
      <c r="B315" s="1375"/>
      <c r="C315" s="776" t="s">
        <v>587</v>
      </c>
      <c r="D315" s="851" t="s">
        <v>859</v>
      </c>
      <c r="E315" s="555">
        <f>$L$272</f>
        <v>1.4674107142857145</v>
      </c>
      <c r="F315" s="800">
        <f>1/$N$255</f>
        <v>2.7777777777777777</v>
      </c>
      <c r="G315" s="784">
        <f>$O$255</f>
        <v>1.1199999999999999</v>
      </c>
      <c r="H315" s="784">
        <f t="shared" ref="H315:H319" si="46">E315*G315+F315*G315</f>
        <v>4.7546111111111102</v>
      </c>
      <c r="I315" s="797">
        <f>H315</f>
        <v>4.7546111111111102</v>
      </c>
    </row>
    <row r="316" spans="1:20" ht="15" customHeight="1">
      <c r="A316" s="1376"/>
      <c r="B316" s="1375"/>
      <c r="C316" s="1496" t="s">
        <v>20</v>
      </c>
      <c r="D316" s="849" t="s">
        <v>631</v>
      </c>
      <c r="E316" s="784">
        <f>$L$270</f>
        <v>1.3517857142857144</v>
      </c>
      <c r="F316" s="800">
        <f>1/$N$253</f>
        <v>2.7777777777777777</v>
      </c>
      <c r="G316" s="784">
        <f>$O$253</f>
        <v>1.68</v>
      </c>
      <c r="H316" s="784">
        <f t="shared" si="46"/>
        <v>6.937666666666666</v>
      </c>
      <c r="I316" s="797">
        <f>SUM(H316:H318)</f>
        <v>12.43172222222222</v>
      </c>
    </row>
    <row r="317" spans="1:20" ht="15" customHeight="1">
      <c r="A317" s="1376"/>
      <c r="B317" s="1375"/>
      <c r="C317" s="1496"/>
      <c r="D317" s="851" t="s">
        <v>859</v>
      </c>
      <c r="E317" s="784">
        <f>$L$272</f>
        <v>1.4674107142857145</v>
      </c>
      <c r="F317" s="800">
        <f>1/$N$255</f>
        <v>2.7777777777777777</v>
      </c>
      <c r="G317" s="784">
        <f>$O$255</f>
        <v>1.1199999999999999</v>
      </c>
      <c r="H317" s="784">
        <f t="shared" si="46"/>
        <v>4.7546111111111102</v>
      </c>
      <c r="I317" s="797"/>
    </row>
    <row r="318" spans="1:20" ht="15" customHeight="1">
      <c r="A318" s="1376"/>
      <c r="B318" s="1375"/>
      <c r="C318" s="1496"/>
      <c r="D318" s="853" t="s">
        <v>858</v>
      </c>
      <c r="E318" s="784">
        <f>$L$271</f>
        <v>1.84375</v>
      </c>
      <c r="F318" s="800">
        <f>1/$N$254</f>
        <v>2.7777777777777777</v>
      </c>
      <c r="G318" s="784">
        <f>$O$254</f>
        <v>0.16000000000000003</v>
      </c>
      <c r="H318" s="784">
        <f t="shared" si="46"/>
        <v>0.73944444444444457</v>
      </c>
      <c r="I318" s="797"/>
      <c r="L318" s="560"/>
      <c r="M318" s="560"/>
      <c r="N318" s="560"/>
      <c r="O318" s="560"/>
    </row>
    <row r="319" spans="1:20" ht="15" customHeight="1">
      <c r="A319" s="1376"/>
      <c r="B319" s="1375"/>
      <c r="C319" s="776" t="s">
        <v>586</v>
      </c>
      <c r="D319" s="851" t="s">
        <v>859</v>
      </c>
      <c r="E319" s="784">
        <f>$L$272</f>
        <v>1.4674107142857145</v>
      </c>
      <c r="F319" s="800">
        <f>1/$N$255</f>
        <v>2.7777777777777777</v>
      </c>
      <c r="G319" s="784">
        <f>$O$255</f>
        <v>1.1199999999999999</v>
      </c>
      <c r="H319" s="784">
        <f t="shared" si="46"/>
        <v>4.7546111111111102</v>
      </c>
      <c r="I319" s="797">
        <f>H319</f>
        <v>4.7546111111111102</v>
      </c>
      <c r="L319" s="560"/>
      <c r="M319" s="560"/>
      <c r="N319" s="560"/>
      <c r="O319" s="560"/>
    </row>
    <row r="320" spans="1:20" ht="15" customHeight="1">
      <c r="A320" s="1376"/>
      <c r="B320" s="1375"/>
      <c r="C320" s="775" t="s">
        <v>19</v>
      </c>
      <c r="D320" s="852" t="s">
        <v>631</v>
      </c>
      <c r="E320" s="785">
        <f>$L$270</f>
        <v>1.3517857142857144</v>
      </c>
      <c r="F320" s="801">
        <f>1/$N$253</f>
        <v>2.7777777777777777</v>
      </c>
      <c r="G320" s="785">
        <f>$O$253</f>
        <v>1.68</v>
      </c>
      <c r="H320" s="785">
        <f t="shared" ref="H320:H325" si="47">E320*G320+F320*G320</f>
        <v>6.937666666666666</v>
      </c>
      <c r="I320" s="798">
        <f>H320</f>
        <v>6.937666666666666</v>
      </c>
      <c r="L320" s="560"/>
      <c r="M320" s="560"/>
      <c r="N320" s="560"/>
      <c r="O320" s="560"/>
    </row>
    <row r="321" spans="1:15" ht="15" customHeight="1">
      <c r="A321" s="1376"/>
      <c r="B321" s="1490" t="s">
        <v>810</v>
      </c>
      <c r="C321" s="774" t="s">
        <v>9</v>
      </c>
      <c r="D321" s="846" t="s">
        <v>618</v>
      </c>
      <c r="E321" s="476">
        <f>$L$268</f>
        <v>1.3595238095238096</v>
      </c>
      <c r="F321" s="799">
        <f>1/$N$251</f>
        <v>2.7777777777777777</v>
      </c>
      <c r="G321" s="476">
        <f>$O$251</f>
        <v>3.1500000000000004</v>
      </c>
      <c r="H321" s="783">
        <f t="shared" si="47"/>
        <v>13.032500000000001</v>
      </c>
      <c r="I321" s="796">
        <f>H321</f>
        <v>13.032500000000001</v>
      </c>
      <c r="L321" s="560"/>
      <c r="M321" s="560"/>
      <c r="N321" s="560"/>
      <c r="O321" s="560"/>
    </row>
    <row r="322" spans="1:15" ht="15" customHeight="1">
      <c r="A322" s="1376"/>
      <c r="B322" s="1490"/>
      <c r="C322" s="1552" t="s">
        <v>804</v>
      </c>
      <c r="D322" s="847" t="s">
        <v>619</v>
      </c>
      <c r="E322" s="848">
        <f>$L$269</f>
        <v>1.3092063492063493</v>
      </c>
      <c r="F322" s="800">
        <f>1/$N$252</f>
        <v>2.7777777777777777</v>
      </c>
      <c r="G322" s="784">
        <f>$O$252</f>
        <v>9.4500000000000011</v>
      </c>
      <c r="H322" s="784">
        <f t="shared" si="47"/>
        <v>38.622000000000007</v>
      </c>
      <c r="I322" s="797">
        <f>SUM(H322:H323)</f>
        <v>45.559666666666672</v>
      </c>
      <c r="L322" s="560"/>
      <c r="M322" s="560"/>
      <c r="N322" s="560"/>
      <c r="O322" s="560"/>
    </row>
    <row r="323" spans="1:15" ht="15" customHeight="1">
      <c r="A323" s="1376"/>
      <c r="B323" s="1490"/>
      <c r="C323" s="1552"/>
      <c r="D323" s="849" t="s">
        <v>631</v>
      </c>
      <c r="E323" s="555">
        <f>$L$270</f>
        <v>1.3517857142857144</v>
      </c>
      <c r="F323" s="800">
        <f>1/$N$253</f>
        <v>2.7777777777777777</v>
      </c>
      <c r="G323" s="784">
        <f>$O$253</f>
        <v>1.68</v>
      </c>
      <c r="H323" s="784">
        <f t="shared" si="47"/>
        <v>6.937666666666666</v>
      </c>
      <c r="I323" s="797"/>
      <c r="L323" s="560"/>
      <c r="M323" s="560"/>
      <c r="N323" s="560"/>
      <c r="O323" s="560"/>
    </row>
    <row r="324" spans="1:15" ht="15" customHeight="1">
      <c r="A324" s="1376"/>
      <c r="B324" s="1490"/>
      <c r="C324" s="1496" t="s">
        <v>802</v>
      </c>
      <c r="D324" s="853" t="s">
        <v>858</v>
      </c>
      <c r="E324" s="555">
        <f>$L$271</f>
        <v>1.84375</v>
      </c>
      <c r="F324" s="800">
        <f>1/$N$254</f>
        <v>2.7777777777777777</v>
      </c>
      <c r="G324" s="784">
        <f>$O$254</f>
        <v>0.16000000000000003</v>
      </c>
      <c r="H324" s="784">
        <f t="shared" si="47"/>
        <v>0.73944444444444457</v>
      </c>
      <c r="I324" s="797">
        <f>SUM(H324:H325)</f>
        <v>7.6771111111111106</v>
      </c>
      <c r="L324" s="560"/>
      <c r="M324" s="560"/>
      <c r="N324" s="560"/>
      <c r="O324" s="560"/>
    </row>
    <row r="325" spans="1:15" ht="15" customHeight="1">
      <c r="A325" s="1376"/>
      <c r="B325" s="1490"/>
      <c r="C325" s="1496"/>
      <c r="D325" s="849" t="s">
        <v>631</v>
      </c>
      <c r="E325" s="555">
        <f>$L$270</f>
        <v>1.3517857142857144</v>
      </c>
      <c r="F325" s="800">
        <f>1/$N$253</f>
        <v>2.7777777777777777</v>
      </c>
      <c r="G325" s="784">
        <f>$O$253</f>
        <v>1.68</v>
      </c>
      <c r="H325" s="784">
        <f t="shared" si="47"/>
        <v>6.937666666666666</v>
      </c>
      <c r="I325" s="797"/>
      <c r="L325" s="560"/>
      <c r="M325" s="560"/>
      <c r="N325" s="560"/>
      <c r="O325" s="560"/>
    </row>
    <row r="326" spans="1:15" ht="15" customHeight="1">
      <c r="A326" s="1376"/>
      <c r="B326" s="1490"/>
      <c r="C326" s="776" t="s">
        <v>587</v>
      </c>
      <c r="D326" s="851" t="s">
        <v>859</v>
      </c>
      <c r="E326" s="555">
        <f>$L$272</f>
        <v>1.4674107142857145</v>
      </c>
      <c r="F326" s="800">
        <f>1/$N$255</f>
        <v>2.7777777777777777</v>
      </c>
      <c r="G326" s="784">
        <f>$O$255</f>
        <v>1.1199999999999999</v>
      </c>
      <c r="H326" s="784">
        <f t="shared" ref="H326:H330" si="48">E326*G326+F326*G326</f>
        <v>4.7546111111111102</v>
      </c>
      <c r="I326" s="797">
        <f>H326</f>
        <v>4.7546111111111102</v>
      </c>
      <c r="L326" s="560"/>
      <c r="M326" s="560"/>
      <c r="N326" s="560"/>
      <c r="O326" s="560"/>
    </row>
    <row r="327" spans="1:15" ht="15" customHeight="1">
      <c r="A327" s="1376"/>
      <c r="B327" s="1490"/>
      <c r="C327" s="1496" t="s">
        <v>20</v>
      </c>
      <c r="D327" s="849" t="s">
        <v>631</v>
      </c>
      <c r="E327" s="784">
        <f>$L$270</f>
        <v>1.3517857142857144</v>
      </c>
      <c r="F327" s="800">
        <f>1/$N$253</f>
        <v>2.7777777777777777</v>
      </c>
      <c r="G327" s="784">
        <f>$O$253</f>
        <v>1.68</v>
      </c>
      <c r="H327" s="784">
        <f t="shared" si="48"/>
        <v>6.937666666666666</v>
      </c>
      <c r="I327" s="797">
        <f>SUM(H327:H329)</f>
        <v>12.43172222222222</v>
      </c>
      <c r="L327" s="560"/>
      <c r="M327" s="560"/>
      <c r="N327" s="560"/>
      <c r="O327" s="560"/>
    </row>
    <row r="328" spans="1:15" ht="15" customHeight="1">
      <c r="A328" s="1376"/>
      <c r="B328" s="1490"/>
      <c r="C328" s="1496"/>
      <c r="D328" s="851" t="s">
        <v>859</v>
      </c>
      <c r="E328" s="784">
        <f>$L$272</f>
        <v>1.4674107142857145</v>
      </c>
      <c r="F328" s="800">
        <f>1/$N$255</f>
        <v>2.7777777777777777</v>
      </c>
      <c r="G328" s="784">
        <f>$O$255</f>
        <v>1.1199999999999999</v>
      </c>
      <c r="H328" s="784">
        <f t="shared" si="48"/>
        <v>4.7546111111111102</v>
      </c>
      <c r="I328" s="797"/>
      <c r="L328" s="560"/>
      <c r="M328" s="560"/>
      <c r="N328" s="560"/>
      <c r="O328" s="560"/>
    </row>
    <row r="329" spans="1:15" ht="15" customHeight="1">
      <c r="A329" s="1376"/>
      <c r="B329" s="1490"/>
      <c r="C329" s="1496"/>
      <c r="D329" s="853" t="s">
        <v>858</v>
      </c>
      <c r="E329" s="784">
        <f>$L$271</f>
        <v>1.84375</v>
      </c>
      <c r="F329" s="800">
        <f>1/$N$254</f>
        <v>2.7777777777777777</v>
      </c>
      <c r="G329" s="784">
        <f>$O$254</f>
        <v>0.16000000000000003</v>
      </c>
      <c r="H329" s="784">
        <f t="shared" si="48"/>
        <v>0.73944444444444457</v>
      </c>
      <c r="I329" s="797"/>
      <c r="L329" s="560"/>
      <c r="M329" s="560"/>
      <c r="N329" s="560"/>
      <c r="O329" s="560"/>
    </row>
    <row r="330" spans="1:15" ht="15" customHeight="1">
      <c r="A330" s="1376"/>
      <c r="B330" s="1490"/>
      <c r="C330" s="776" t="s">
        <v>586</v>
      </c>
      <c r="D330" s="851" t="s">
        <v>859</v>
      </c>
      <c r="E330" s="784">
        <f>$L$272</f>
        <v>1.4674107142857145</v>
      </c>
      <c r="F330" s="800">
        <f>1/$N$255</f>
        <v>2.7777777777777777</v>
      </c>
      <c r="G330" s="784">
        <f>$O$255</f>
        <v>1.1199999999999999</v>
      </c>
      <c r="H330" s="784">
        <f t="shared" si="48"/>
        <v>4.7546111111111102</v>
      </c>
      <c r="I330" s="797">
        <f>H330</f>
        <v>4.7546111111111102</v>
      </c>
      <c r="L330" s="560"/>
      <c r="M330" s="560"/>
      <c r="N330" s="560"/>
      <c r="O330" s="560"/>
    </row>
    <row r="331" spans="1:15" ht="15" customHeight="1">
      <c r="A331" s="1376"/>
      <c r="B331" s="1490"/>
      <c r="C331" s="775" t="s">
        <v>19</v>
      </c>
      <c r="D331" s="852" t="s">
        <v>631</v>
      </c>
      <c r="E331" s="785">
        <f>$L$270</f>
        <v>1.3517857142857144</v>
      </c>
      <c r="F331" s="801">
        <f>1/$N$253</f>
        <v>2.7777777777777777</v>
      </c>
      <c r="G331" s="785">
        <f>$O$253</f>
        <v>1.68</v>
      </c>
      <c r="H331" s="785">
        <f>E331*G331+F331*G331</f>
        <v>6.937666666666666</v>
      </c>
      <c r="I331" s="798">
        <f>H331</f>
        <v>6.937666666666666</v>
      </c>
      <c r="M331" s="63"/>
    </row>
    <row r="332" spans="1:15" ht="15" customHeight="1">
      <c r="B332" s="395"/>
      <c r="C332" s="65"/>
      <c r="D332" s="422"/>
      <c r="E332" s="422"/>
      <c r="F332" s="422"/>
      <c r="G332" s="422"/>
      <c r="M332" s="11"/>
    </row>
    <row r="333" spans="1:15" ht="15" hidden="1" customHeight="1">
      <c r="C333" s="422"/>
    </row>
    <row r="334" spans="1:15" ht="15" hidden="1" customHeight="1"/>
    <row r="335" spans="1:15" ht="15" hidden="1" customHeight="1">
      <c r="A335" s="150" t="s">
        <v>0</v>
      </c>
      <c r="B335" s="409" t="s">
        <v>566</v>
      </c>
      <c r="D335" s="410"/>
      <c r="E335" s="411"/>
      <c r="F335" s="1508"/>
      <c r="G335" s="1402" t="s">
        <v>567</v>
      </c>
      <c r="H335" s="1403"/>
      <c r="I335" s="1403"/>
      <c r="J335" s="1403"/>
      <c r="K335" s="1404"/>
      <c r="L335" s="1352" t="s">
        <v>5</v>
      </c>
      <c r="M335" s="1353"/>
      <c r="N335" s="1352" t="s">
        <v>6</v>
      </c>
      <c r="O335" s="1353"/>
    </row>
    <row r="336" spans="1:15" ht="15" hidden="1" customHeight="1">
      <c r="A336" s="47">
        <v>3</v>
      </c>
      <c r="B336" s="403" t="s">
        <v>133</v>
      </c>
      <c r="C336" s="410"/>
      <c r="D336" s="404"/>
      <c r="E336" s="405"/>
      <c r="F336" s="1509"/>
      <c r="G336" s="1414" t="s">
        <v>568</v>
      </c>
      <c r="H336" s="1415"/>
      <c r="I336" s="1415"/>
      <c r="J336" s="1415"/>
      <c r="K336" s="1416"/>
      <c r="L336" s="1391" t="str">
        <f>'1.Dati'!L2:M2</f>
        <v>Prof. R. RICCIU</v>
      </c>
      <c r="M336" s="1392"/>
      <c r="N336" s="1391"/>
      <c r="O336" s="1392"/>
    </row>
    <row r="337" spans="1:22" ht="15" hidden="1" customHeight="1">
      <c r="A337" s="48" t="s">
        <v>293</v>
      </c>
      <c r="B337" s="406"/>
      <c r="C337" s="404"/>
      <c r="D337" s="407"/>
      <c r="E337" s="408"/>
      <c r="F337" s="1510"/>
      <c r="G337" s="1542" t="str">
        <f>'1.Dati'!G3:K3</f>
        <v>LAB. INTEGR. DI PROG. TECN. (TERMOFISICA DELL'EDIFICIO) a.a. 2019/2020</v>
      </c>
      <c r="H337" s="1543"/>
      <c r="I337" s="1543"/>
      <c r="J337" s="1543"/>
      <c r="K337" s="1544"/>
      <c r="L337" s="1357" t="s">
        <v>570</v>
      </c>
      <c r="M337" s="1358"/>
      <c r="N337" s="1357"/>
      <c r="O337" s="1358"/>
    </row>
    <row r="338" spans="1:22" hidden="1">
      <c r="C338" s="407"/>
    </row>
    <row r="339" spans="1:22" hidden="1">
      <c r="Q339" s="55"/>
      <c r="R339" s="118" t="s">
        <v>195</v>
      </c>
      <c r="S339" s="119"/>
      <c r="T339" s="75" t="s">
        <v>196</v>
      </c>
      <c r="U339" s="76"/>
    </row>
    <row r="340" spans="1:22" hidden="1">
      <c r="A340" s="140" t="s">
        <v>85</v>
      </c>
      <c r="B340" s="112" t="s">
        <v>25</v>
      </c>
      <c r="D340" s="99" t="s">
        <v>180</v>
      </c>
      <c r="E340" s="99" t="s">
        <v>89</v>
      </c>
      <c r="F340" s="111" t="s">
        <v>185</v>
      </c>
      <c r="G340" s="99" t="s">
        <v>178</v>
      </c>
      <c r="Q340" s="79" t="s">
        <v>187</v>
      </c>
      <c r="R340" s="79" t="s">
        <v>59</v>
      </c>
      <c r="S340" s="79" t="s">
        <v>57</v>
      </c>
      <c r="T340" s="79" t="s">
        <v>59</v>
      </c>
      <c r="U340" s="79" t="s">
        <v>57</v>
      </c>
    </row>
    <row r="341" spans="1:22" ht="18" hidden="1" customHeight="1">
      <c r="A341" s="1553" t="s">
        <v>87</v>
      </c>
      <c r="B341" s="1504" t="s">
        <v>24</v>
      </c>
      <c r="C341" s="99" t="s">
        <v>137</v>
      </c>
      <c r="D341" s="211" t="s">
        <v>24</v>
      </c>
      <c r="E341" s="188" t="s">
        <v>181</v>
      </c>
      <c r="F341" s="212" t="s">
        <v>186</v>
      </c>
      <c r="G341" s="213" t="s">
        <v>87</v>
      </c>
      <c r="Q341" s="68"/>
      <c r="R341" s="24" t="s">
        <v>188</v>
      </c>
      <c r="S341" s="24" t="s">
        <v>189</v>
      </c>
      <c r="T341" s="24" t="s">
        <v>190</v>
      </c>
      <c r="U341" s="24" t="s">
        <v>191</v>
      </c>
    </row>
    <row r="342" spans="1:22" ht="15" hidden="1" customHeight="1">
      <c r="A342" s="1554"/>
      <c r="B342" s="1551"/>
      <c r="C342" s="1540" t="s">
        <v>24</v>
      </c>
      <c r="D342" s="214"/>
      <c r="E342" s="215" t="s">
        <v>31</v>
      </c>
      <c r="F342" s="216" t="s">
        <v>91</v>
      </c>
      <c r="G342" s="217" t="s">
        <v>75</v>
      </c>
      <c r="Q342" s="69"/>
      <c r="R342" s="78" t="s">
        <v>31</v>
      </c>
      <c r="S342" s="78" t="s">
        <v>150</v>
      </c>
      <c r="T342" s="78" t="s">
        <v>31</v>
      </c>
      <c r="U342" s="78" t="s">
        <v>150</v>
      </c>
    </row>
    <row r="343" spans="1:22" ht="15" hidden="1" customHeight="1">
      <c r="A343" s="1555" t="s">
        <v>35</v>
      </c>
      <c r="B343" s="1557" t="s">
        <v>9</v>
      </c>
      <c r="C343" s="1556"/>
      <c r="D343" s="70" t="s">
        <v>182</v>
      </c>
      <c r="E343" s="153">
        <v>1.1000000000000001</v>
      </c>
      <c r="F343" s="226">
        <f>(0.9*$R$343)/(1.25+$S$343)</f>
        <v>0.36333574710746441</v>
      </c>
      <c r="G343" s="1492">
        <f>SUM(F343*E343+F344*E344+F345*E345+F346*E346)</f>
        <v>1.8105241163387593</v>
      </c>
      <c r="Q343" s="67" t="s">
        <v>192</v>
      </c>
      <c r="R343" s="85">
        <f>SUM('[1]2.Stratigrafie'!E116:E121)</f>
        <v>0.83</v>
      </c>
      <c r="S343" s="85">
        <f>SUM('[1]2.Stratigrafie'!G116:G121)</f>
        <v>0.80594964422550641</v>
      </c>
      <c r="T343" s="85">
        <f>SUM('[1]2.Stratigrafie'!E10:E15)</f>
        <v>0.67</v>
      </c>
      <c r="U343" s="85">
        <f>SUM('[1]2.Stratigrafie'!G10:G15)</f>
        <v>1.3571428571428572</v>
      </c>
    </row>
    <row r="344" spans="1:22" ht="15" hidden="1" customHeight="1">
      <c r="A344" s="1506"/>
      <c r="B344" s="1558"/>
      <c r="C344" s="1564" t="s">
        <v>167</v>
      </c>
      <c r="D344" s="71" t="s">
        <v>183</v>
      </c>
      <c r="E344" s="58">
        <v>2.5</v>
      </c>
      <c r="F344" s="138">
        <f t="shared" ref="F344:F350" si="49">(0.9*$T$343)/(1.25+$U$343)</f>
        <v>0.23128767123287675</v>
      </c>
      <c r="G344" s="1493"/>
      <c r="Q344" s="61" t="s">
        <v>193</v>
      </c>
      <c r="R344" s="84">
        <f>SUM('[1]2.Stratigrafie'!E132:E136)</f>
        <v>0.34400000000000008</v>
      </c>
      <c r="S344" s="64">
        <f>SUM('[1]2.Stratigrafie'!G132:G136)</f>
        <v>0.48320197044334978</v>
      </c>
      <c r="T344" s="83">
        <f>SUM('[1]2.Stratigrafie'!E26:E31)</f>
        <v>0.52</v>
      </c>
      <c r="U344" s="83">
        <f>SUM('[1]2.Stratigrafie'!G26:G31)</f>
        <v>1.1190476190476191</v>
      </c>
    </row>
    <row r="345" spans="1:22" ht="15" hidden="1" customHeight="1">
      <c r="A345" s="1506"/>
      <c r="B345" s="1558"/>
      <c r="C345" s="1564"/>
      <c r="D345" s="71" t="s">
        <v>183</v>
      </c>
      <c r="E345" s="58">
        <v>2.5</v>
      </c>
      <c r="F345" s="138">
        <f t="shared" si="49"/>
        <v>0.23128767123287675</v>
      </c>
      <c r="G345" s="1493"/>
      <c r="Q345" s="61" t="s">
        <v>194</v>
      </c>
      <c r="R345" s="49" t="s">
        <v>24</v>
      </c>
      <c r="S345" s="49" t="s">
        <v>24</v>
      </c>
      <c r="T345" s="83">
        <f>T344</f>
        <v>0.52</v>
      </c>
      <c r="U345" s="83">
        <f>U344</f>
        <v>1.1190476190476191</v>
      </c>
    </row>
    <row r="346" spans="1:22" ht="15" hidden="1" customHeight="1">
      <c r="A346" s="1506"/>
      <c r="B346" s="1559"/>
      <c r="C346" s="1564"/>
      <c r="D346" s="72" t="s">
        <v>184</v>
      </c>
      <c r="E346" s="144">
        <v>1.1000000000000001</v>
      </c>
      <c r="F346" s="227">
        <f t="shared" si="49"/>
        <v>0.23128767123287675</v>
      </c>
      <c r="G346" s="1494"/>
      <c r="Q346" s="61" t="s">
        <v>197</v>
      </c>
      <c r="R346" s="49" t="s">
        <v>24</v>
      </c>
      <c r="S346" s="49" t="s">
        <v>24</v>
      </c>
      <c r="T346" s="83">
        <f>SUM('[1]2.Stratigrafie'!E62:E65)</f>
        <v>0.75</v>
      </c>
      <c r="U346" s="83">
        <f>SUM('[1]2.Stratigrafie'!G62:G65)</f>
        <v>3.6690476190476184</v>
      </c>
    </row>
    <row r="347" spans="1:22" ht="15" hidden="1" customHeight="1">
      <c r="A347" s="1506"/>
      <c r="B347" s="1557" t="s">
        <v>10</v>
      </c>
      <c r="C347" s="1564"/>
      <c r="D347" s="70" t="s">
        <v>182</v>
      </c>
      <c r="E347" s="153">
        <v>0.9</v>
      </c>
      <c r="F347" s="226">
        <f t="shared" si="49"/>
        <v>0.23128767123287675</v>
      </c>
      <c r="G347" s="1492">
        <f>(E347*F347)+(E348*F348)+(E349*F349)+(E350*F350)+(E351*F351)+(E352*F352)+(E353*F353)+(E354*F354)</f>
        <v>2.8810091001132516</v>
      </c>
      <c r="Q347" s="10"/>
      <c r="R347" s="11"/>
      <c r="S347" s="11"/>
      <c r="T347" s="54"/>
      <c r="U347" s="54"/>
      <c r="V347" s="9"/>
    </row>
    <row r="348" spans="1:22" ht="15.75" hidden="1" customHeight="1">
      <c r="A348" s="1506"/>
      <c r="B348" s="1558"/>
      <c r="C348" s="1560" t="s">
        <v>158</v>
      </c>
      <c r="D348" s="71" t="s">
        <v>183</v>
      </c>
      <c r="E348" s="58">
        <v>0.9</v>
      </c>
      <c r="F348" s="138">
        <f t="shared" si="49"/>
        <v>0.23128767123287675</v>
      </c>
      <c r="G348" s="1493"/>
      <c r="Q348" s="1522" t="s">
        <v>21</v>
      </c>
      <c r="R348" s="1525" t="s">
        <v>159</v>
      </c>
      <c r="S348" s="70" t="s">
        <v>182</v>
      </c>
      <c r="T348" s="80">
        <v>0.5</v>
      </c>
      <c r="U348" s="56">
        <f t="shared" ref="U348:U355" si="50">(0.9*$T$346)/(1.25+$U$346)</f>
        <v>0.13722168441432722</v>
      </c>
      <c r="V348" s="1528">
        <f>(T348*U348)+(T349*U349)+(T350*U350)+(T351*U351)+(T352*U352)+(T353*U353)+(T354*U354)+(T355*U355)</f>
        <v>0.54888673765730889</v>
      </c>
    </row>
    <row r="349" spans="1:22" ht="15.75" hidden="1" customHeight="1">
      <c r="A349" s="1506"/>
      <c r="B349" s="1558"/>
      <c r="C349" s="1561"/>
      <c r="D349" s="71" t="s">
        <v>183</v>
      </c>
      <c r="E349" s="58">
        <v>0.9</v>
      </c>
      <c r="F349" s="138">
        <f t="shared" si="49"/>
        <v>0.23128767123287675</v>
      </c>
      <c r="G349" s="1493"/>
      <c r="Q349" s="1523"/>
      <c r="R349" s="1526"/>
      <c r="S349" s="71" t="s">
        <v>183</v>
      </c>
      <c r="T349" s="81">
        <v>0.5</v>
      </c>
      <c r="U349" s="54">
        <f t="shared" si="50"/>
        <v>0.13722168441432722</v>
      </c>
      <c r="V349" s="1529"/>
    </row>
    <row r="350" spans="1:22" ht="15" hidden="1" customHeight="1">
      <c r="A350" s="1506"/>
      <c r="B350" s="1558"/>
      <c r="C350" s="1561"/>
      <c r="D350" s="72" t="s">
        <v>184</v>
      </c>
      <c r="E350" s="144">
        <v>0.9</v>
      </c>
      <c r="F350" s="227">
        <f t="shared" si="49"/>
        <v>0.23128767123287675</v>
      </c>
      <c r="G350" s="1493"/>
      <c r="Q350" s="1523"/>
      <c r="R350" s="1526"/>
      <c r="S350" s="71" t="s">
        <v>183</v>
      </c>
      <c r="T350" s="81">
        <v>0.5</v>
      </c>
      <c r="U350" s="54">
        <f t="shared" si="50"/>
        <v>0.13722168441432722</v>
      </c>
      <c r="V350" s="1529"/>
    </row>
    <row r="351" spans="1:22" ht="15" hidden="1" customHeight="1">
      <c r="A351" s="1506"/>
      <c r="B351" s="1558"/>
      <c r="C351" s="1562"/>
      <c r="D351" s="70" t="s">
        <v>182</v>
      </c>
      <c r="E351" s="153">
        <v>1.5</v>
      </c>
      <c r="F351" s="226">
        <f>(0.9*$R$343)/(1.25+$S$343)</f>
        <v>0.36333574710746441</v>
      </c>
      <c r="G351" s="1493"/>
      <c r="Q351" s="1523"/>
      <c r="R351" s="1527"/>
      <c r="S351" s="72" t="s">
        <v>184</v>
      </c>
      <c r="T351" s="82">
        <v>0.5</v>
      </c>
      <c r="U351" s="60">
        <f t="shared" si="50"/>
        <v>0.13722168441432722</v>
      </c>
      <c r="V351" s="1529"/>
    </row>
    <row r="352" spans="1:22" ht="15.75" hidden="1" customHeight="1">
      <c r="A352" s="1506"/>
      <c r="B352" s="1558"/>
      <c r="C352" s="1525" t="s">
        <v>166</v>
      </c>
      <c r="D352" s="71" t="s">
        <v>183</v>
      </c>
      <c r="E352" s="58">
        <v>2.5</v>
      </c>
      <c r="F352" s="138">
        <f>(0.9*$T$343)/(1.25+$U$343)</f>
        <v>0.23128767123287675</v>
      </c>
      <c r="G352" s="1493"/>
      <c r="Q352" s="1523"/>
      <c r="R352" s="1525" t="s">
        <v>160</v>
      </c>
      <c r="S352" s="70" t="s">
        <v>182</v>
      </c>
      <c r="T352" s="80">
        <v>0.5</v>
      </c>
      <c r="U352" s="56">
        <f t="shared" si="50"/>
        <v>0.13722168441432722</v>
      </c>
      <c r="V352" s="1529"/>
    </row>
    <row r="353" spans="1:22" ht="15.75" hidden="1" customHeight="1">
      <c r="A353" s="1506"/>
      <c r="B353" s="1558"/>
      <c r="C353" s="1526"/>
      <c r="D353" s="71" t="s">
        <v>183</v>
      </c>
      <c r="E353" s="58">
        <v>2.5</v>
      </c>
      <c r="F353" s="138">
        <f>(0.9*$T$343)/(1.25+$U$343)</f>
        <v>0.23128767123287675</v>
      </c>
      <c r="G353" s="1493"/>
      <c r="Q353" s="1523"/>
      <c r="R353" s="1526"/>
      <c r="S353" s="71" t="s">
        <v>183</v>
      </c>
      <c r="T353" s="81">
        <v>0.5</v>
      </c>
      <c r="U353" s="54">
        <f t="shared" si="50"/>
        <v>0.13722168441432722</v>
      </c>
      <c r="V353" s="1529"/>
    </row>
    <row r="354" spans="1:22" ht="15" hidden="1" customHeight="1">
      <c r="A354" s="1506"/>
      <c r="B354" s="1559"/>
      <c r="C354" s="1526"/>
      <c r="D354" s="72" t="s">
        <v>184</v>
      </c>
      <c r="E354" s="58">
        <v>1.5</v>
      </c>
      <c r="F354" s="227">
        <f>(0.9*$T$343)/(1.25+$U$343)</f>
        <v>0.23128767123287675</v>
      </c>
      <c r="G354" s="1494"/>
      <c r="Q354" s="1523"/>
      <c r="R354" s="1526"/>
      <c r="S354" s="71" t="s">
        <v>183</v>
      </c>
      <c r="T354" s="81">
        <v>0.5</v>
      </c>
      <c r="U354" s="54">
        <f t="shared" si="50"/>
        <v>0.13722168441432722</v>
      </c>
      <c r="V354" s="1529"/>
    </row>
    <row r="355" spans="1:22" ht="15.75" hidden="1" customHeight="1">
      <c r="A355" s="1506"/>
      <c r="B355" s="1557" t="s">
        <v>11</v>
      </c>
      <c r="C355" s="1527"/>
      <c r="D355" s="70" t="s">
        <v>182</v>
      </c>
      <c r="E355" s="153">
        <v>1.1000000000000001</v>
      </c>
      <c r="F355" s="226">
        <f>(0.9*$R$343)/(1.25+$S$343)</f>
        <v>0.36333574710746441</v>
      </c>
      <c r="G355" s="1492">
        <f>SUM(F355*E355+F356*E356+F357*E357+F358*E358)</f>
        <v>1.7180090478456085</v>
      </c>
      <c r="Q355" s="1524"/>
      <c r="R355" s="1527"/>
      <c r="S355" s="72" t="s">
        <v>184</v>
      </c>
      <c r="T355" s="82">
        <v>0.5</v>
      </c>
      <c r="U355" s="60">
        <f t="shared" si="50"/>
        <v>0.13722168441432722</v>
      </c>
      <c r="V355" s="1530"/>
    </row>
    <row r="356" spans="1:22" ht="15" hidden="1" customHeight="1">
      <c r="A356" s="1506"/>
      <c r="B356" s="1558"/>
      <c r="C356" s="1563" t="s">
        <v>164</v>
      </c>
      <c r="D356" s="71" t="s">
        <v>183</v>
      </c>
      <c r="E356" s="58">
        <v>2.2999999999999998</v>
      </c>
      <c r="F356" s="138">
        <f t="shared" ref="F356:F370" si="51">(0.9*$T$343)/(1.25+$U$343)</f>
        <v>0.23128767123287675</v>
      </c>
      <c r="G356" s="1493"/>
    </row>
    <row r="357" spans="1:22" ht="15" hidden="1" customHeight="1">
      <c r="A357" s="1506"/>
      <c r="B357" s="1558"/>
      <c r="C357" s="1563"/>
      <c r="D357" s="71" t="s">
        <v>183</v>
      </c>
      <c r="E357" s="58">
        <v>2.2999999999999998</v>
      </c>
      <c r="F357" s="138">
        <f t="shared" si="51"/>
        <v>0.23128767123287675</v>
      </c>
      <c r="G357" s="1493"/>
    </row>
    <row r="358" spans="1:22" ht="15" hidden="1" customHeight="1">
      <c r="A358" s="1506"/>
      <c r="B358" s="1559"/>
      <c r="C358" s="1563"/>
      <c r="D358" s="72" t="s">
        <v>184</v>
      </c>
      <c r="E358" s="144">
        <v>1.1000000000000001</v>
      </c>
      <c r="F358" s="227">
        <f t="shared" si="51"/>
        <v>0.23128767123287675</v>
      </c>
      <c r="G358" s="1494"/>
      <c r="K358" s="17"/>
      <c r="L358" s="14"/>
      <c r="M358" s="14"/>
      <c r="N358" s="14"/>
    </row>
    <row r="359" spans="1:22" ht="15" hidden="1" customHeight="1">
      <c r="A359" s="1506"/>
      <c r="B359" s="1495" t="s">
        <v>12</v>
      </c>
      <c r="C359" s="1563"/>
      <c r="D359" s="70" t="s">
        <v>182</v>
      </c>
      <c r="E359" s="153">
        <v>1.5</v>
      </c>
      <c r="F359" s="226">
        <f t="shared" si="51"/>
        <v>0.23128767123287675</v>
      </c>
      <c r="G359" s="1492">
        <f>SUM(F359*E359+F360*E360+F361*E361+F362*E362)</f>
        <v>1.3877260273972605</v>
      </c>
      <c r="K359" s="17"/>
      <c r="L359" s="120"/>
      <c r="M359" s="14"/>
      <c r="N359" s="14"/>
    </row>
    <row r="360" spans="1:22" ht="15" hidden="1" customHeight="1">
      <c r="A360" s="1506"/>
      <c r="B360" s="1496"/>
      <c r="C360" s="1525" t="s">
        <v>151</v>
      </c>
      <c r="D360" s="71" t="s">
        <v>183</v>
      </c>
      <c r="E360" s="58">
        <v>1.5</v>
      </c>
      <c r="F360" s="138">
        <f t="shared" si="51"/>
        <v>0.23128767123287675</v>
      </c>
      <c r="G360" s="1493"/>
      <c r="K360" s="17"/>
      <c r="L360" s="121"/>
      <c r="M360" s="14"/>
      <c r="N360" s="14"/>
    </row>
    <row r="361" spans="1:22" ht="15" hidden="1" customHeight="1">
      <c r="A361" s="1506"/>
      <c r="B361" s="1496"/>
      <c r="C361" s="1526"/>
      <c r="D361" s="71" t="s">
        <v>183</v>
      </c>
      <c r="E361" s="58">
        <v>1.5</v>
      </c>
      <c r="F361" s="138">
        <f t="shared" si="51"/>
        <v>0.23128767123287675</v>
      </c>
      <c r="G361" s="1493"/>
      <c r="K361" s="17"/>
      <c r="L361" s="121"/>
      <c r="M361" s="14"/>
      <c r="N361" s="14"/>
    </row>
    <row r="362" spans="1:22" ht="15" hidden="1" customHeight="1">
      <c r="A362" s="1506"/>
      <c r="B362" s="1497"/>
      <c r="C362" s="1526"/>
      <c r="D362" s="72" t="s">
        <v>184</v>
      </c>
      <c r="E362" s="144">
        <v>1.5</v>
      </c>
      <c r="F362" s="227">
        <f t="shared" si="51"/>
        <v>0.23128767123287675</v>
      </c>
      <c r="G362" s="1494"/>
      <c r="K362" s="17"/>
      <c r="L362" s="120"/>
      <c r="M362" s="14"/>
      <c r="N362" s="14"/>
    </row>
    <row r="363" spans="1:22" ht="15" hidden="1" customHeight="1">
      <c r="A363" s="1506"/>
      <c r="B363" s="1495" t="s">
        <v>13</v>
      </c>
      <c r="C363" s="1527"/>
      <c r="D363" s="70" t="s">
        <v>182</v>
      </c>
      <c r="E363" s="153">
        <v>1.5</v>
      </c>
      <c r="F363" s="226">
        <f t="shared" si="51"/>
        <v>0.23128767123287675</v>
      </c>
      <c r="G363" s="1492">
        <f>SUM(F363*E363+F364*E364+F365*E365+F366*E366)</f>
        <v>1.3877260273972605</v>
      </c>
      <c r="K363" s="17"/>
      <c r="L363" s="120"/>
      <c r="M363" s="14"/>
      <c r="N363" s="14"/>
    </row>
    <row r="364" spans="1:22" ht="15" hidden="1" customHeight="1">
      <c r="A364" s="1506"/>
      <c r="B364" s="1496"/>
      <c r="C364" s="1525" t="s">
        <v>152</v>
      </c>
      <c r="D364" s="71" t="s">
        <v>183</v>
      </c>
      <c r="E364" s="58">
        <v>1.5</v>
      </c>
      <c r="F364" s="138">
        <f t="shared" si="51"/>
        <v>0.23128767123287675</v>
      </c>
      <c r="G364" s="1493"/>
      <c r="K364" s="17"/>
      <c r="L364" s="121"/>
      <c r="M364" s="14"/>
      <c r="N364" s="14"/>
    </row>
    <row r="365" spans="1:22" ht="15" hidden="1" customHeight="1">
      <c r="A365" s="1506"/>
      <c r="B365" s="1496"/>
      <c r="C365" s="1526"/>
      <c r="D365" s="71" t="s">
        <v>183</v>
      </c>
      <c r="E365" s="58">
        <v>1.5</v>
      </c>
      <c r="F365" s="138">
        <f t="shared" si="51"/>
        <v>0.23128767123287675</v>
      </c>
      <c r="G365" s="1493"/>
      <c r="K365" s="17"/>
      <c r="L365" s="121"/>
      <c r="M365" s="14"/>
      <c r="N365" s="14"/>
    </row>
    <row r="366" spans="1:22" ht="15" hidden="1" customHeight="1">
      <c r="A366" s="1506"/>
      <c r="B366" s="1497"/>
      <c r="C366" s="1526"/>
      <c r="D366" s="72" t="s">
        <v>184</v>
      </c>
      <c r="E366" s="58">
        <v>1.5</v>
      </c>
      <c r="F366" s="227">
        <f t="shared" si="51"/>
        <v>0.23128767123287675</v>
      </c>
      <c r="G366" s="1494"/>
      <c r="K366" s="17"/>
      <c r="L366" s="120"/>
      <c r="M366" s="14"/>
      <c r="N366" s="14"/>
    </row>
    <row r="367" spans="1:22" ht="15" hidden="1" customHeight="1">
      <c r="A367" s="1506"/>
      <c r="B367" s="1495" t="s">
        <v>76</v>
      </c>
      <c r="C367" s="1527"/>
      <c r="D367" s="70" t="s">
        <v>182</v>
      </c>
      <c r="E367" s="153">
        <v>0.9</v>
      </c>
      <c r="F367" s="226">
        <f t="shared" si="51"/>
        <v>0.23128767123287675</v>
      </c>
      <c r="G367" s="1492">
        <f>SUM(F367*E367+F368*E368+F369*E369+F370*E370)</f>
        <v>0.83263561643835626</v>
      </c>
      <c r="K367" s="17"/>
      <c r="L367" s="120"/>
      <c r="M367" s="14"/>
      <c r="N367" s="14"/>
    </row>
    <row r="368" spans="1:22" ht="15" hidden="1" customHeight="1">
      <c r="A368" s="1506"/>
      <c r="B368" s="1496"/>
      <c r="C368" s="1525" t="s">
        <v>157</v>
      </c>
      <c r="D368" s="71" t="s">
        <v>183</v>
      </c>
      <c r="E368" s="58">
        <v>0.9</v>
      </c>
      <c r="F368" s="138">
        <f t="shared" si="51"/>
        <v>0.23128767123287675</v>
      </c>
      <c r="G368" s="1493"/>
      <c r="K368" s="17"/>
      <c r="L368" s="121"/>
      <c r="M368" s="14"/>
      <c r="N368" s="14"/>
    </row>
    <row r="369" spans="1:24" ht="15" hidden="1" customHeight="1">
      <c r="A369" s="1506"/>
      <c r="B369" s="1496"/>
      <c r="C369" s="1526"/>
      <c r="D369" s="71" t="s">
        <v>183</v>
      </c>
      <c r="E369" s="58">
        <v>0.9</v>
      </c>
      <c r="F369" s="138">
        <f t="shared" si="51"/>
        <v>0.23128767123287675</v>
      </c>
      <c r="G369" s="1493"/>
      <c r="K369" s="17"/>
      <c r="L369" s="121"/>
      <c r="M369" s="14"/>
      <c r="N369" s="14"/>
    </row>
    <row r="370" spans="1:24" ht="15" hidden="1" customHeight="1">
      <c r="A370" s="1507"/>
      <c r="B370" s="1497"/>
      <c r="C370" s="1526"/>
      <c r="D370" s="72" t="s">
        <v>184</v>
      </c>
      <c r="E370" s="144">
        <v>0.9</v>
      </c>
      <c r="F370" s="227">
        <f t="shared" si="51"/>
        <v>0.23128767123287675</v>
      </c>
      <c r="G370" s="1494"/>
      <c r="K370" s="17"/>
      <c r="L370" s="120"/>
      <c r="M370" s="14"/>
      <c r="N370" s="14"/>
    </row>
    <row r="371" spans="1:24" ht="15" hidden="1" customHeight="1">
      <c r="A371" s="164"/>
      <c r="B371" s="107"/>
      <c r="C371" s="1527"/>
      <c r="D371" s="120"/>
      <c r="E371" s="54"/>
      <c r="F371" s="54"/>
      <c r="G371" s="11"/>
      <c r="K371" s="17"/>
      <c r="L371" s="120"/>
      <c r="M371" s="14"/>
      <c r="N371" s="14"/>
    </row>
    <row r="372" spans="1:24" ht="15" hidden="1" customHeight="1">
      <c r="A372" s="207"/>
      <c r="B372" s="14"/>
      <c r="C372" s="165"/>
      <c r="D372" s="14"/>
      <c r="E372" s="17"/>
      <c r="F372" s="62"/>
      <c r="G372" s="62"/>
    </row>
    <row r="373" spans="1:24" ht="15" hidden="1" customHeight="1">
      <c r="A373" s="150" t="s">
        <v>0</v>
      </c>
      <c r="B373" s="409" t="s">
        <v>566</v>
      </c>
      <c r="C373" s="14"/>
      <c r="D373" s="410"/>
      <c r="E373" s="411"/>
      <c r="F373" s="1508"/>
      <c r="G373" s="1402" t="s">
        <v>567</v>
      </c>
      <c r="H373" s="1403"/>
      <c r="I373" s="1403"/>
      <c r="J373" s="1403"/>
      <c r="K373" s="1404"/>
      <c r="L373" s="1352" t="s">
        <v>5</v>
      </c>
      <c r="M373" s="1353"/>
      <c r="N373" s="1352" t="s">
        <v>6</v>
      </c>
      <c r="O373" s="1353"/>
    </row>
    <row r="374" spans="1:24" ht="15" hidden="1" customHeight="1">
      <c r="A374" s="47">
        <v>3</v>
      </c>
      <c r="B374" s="403" t="s">
        <v>133</v>
      </c>
      <c r="C374" s="410"/>
      <c r="D374" s="404"/>
      <c r="E374" s="405"/>
      <c r="F374" s="1509"/>
      <c r="G374" s="1414" t="s">
        <v>568</v>
      </c>
      <c r="H374" s="1415"/>
      <c r="I374" s="1415"/>
      <c r="J374" s="1415"/>
      <c r="K374" s="1416"/>
      <c r="L374" s="1391" t="str">
        <f>'1.Dati'!L2:M2</f>
        <v>Prof. R. RICCIU</v>
      </c>
      <c r="M374" s="1392"/>
      <c r="N374" s="1391"/>
      <c r="O374" s="1392"/>
    </row>
    <row r="375" spans="1:24" ht="15" hidden="1" customHeight="1">
      <c r="A375" s="48" t="s">
        <v>179</v>
      </c>
      <c r="B375" s="406"/>
      <c r="C375" s="404"/>
      <c r="D375" s="407"/>
      <c r="E375" s="408"/>
      <c r="F375" s="1510"/>
      <c r="G375" s="1542" t="str">
        <f>'1.Dati'!G3:K3</f>
        <v>LAB. INTEGR. DI PROG. TECN. (TERMOFISICA DELL'EDIFICIO) a.a. 2019/2020</v>
      </c>
      <c r="H375" s="1543"/>
      <c r="I375" s="1543"/>
      <c r="J375" s="1543"/>
      <c r="K375" s="1544"/>
      <c r="L375" s="1357" t="s">
        <v>570</v>
      </c>
      <c r="M375" s="1358"/>
      <c r="N375" s="1357"/>
      <c r="O375" s="1358"/>
      <c r="Q375" s="122"/>
      <c r="R375" s="123"/>
      <c r="S375" s="62"/>
      <c r="T375" s="9"/>
      <c r="U375" s="54"/>
      <c r="V375" s="54"/>
      <c r="W375" s="46"/>
      <c r="X375" s="9"/>
    </row>
    <row r="376" spans="1:24" ht="16" hidden="1">
      <c r="A376" s="207"/>
      <c r="B376" s="208"/>
      <c r="C376" s="407"/>
      <c r="D376" s="62"/>
      <c r="E376" s="62"/>
      <c r="F376" s="62"/>
      <c r="G376" s="62"/>
      <c r="Q376" s="122"/>
      <c r="R376" s="123"/>
      <c r="S376" s="66"/>
      <c r="T376" s="9"/>
      <c r="U376" s="54"/>
      <c r="V376" s="54"/>
      <c r="W376" s="46"/>
      <c r="X376" s="9"/>
    </row>
    <row r="377" spans="1:24" ht="16" hidden="1">
      <c r="A377" s="207"/>
      <c r="B377" s="208"/>
      <c r="C377" s="66"/>
      <c r="D377" s="62"/>
      <c r="E377" s="62"/>
      <c r="F377" s="62"/>
      <c r="G377" s="62"/>
      <c r="Q377" s="122"/>
      <c r="R377" s="123"/>
      <c r="S377" s="66"/>
      <c r="T377" s="9"/>
      <c r="U377" s="54"/>
      <c r="V377" s="54"/>
      <c r="W377" s="46"/>
      <c r="X377" s="9"/>
    </row>
    <row r="378" spans="1:24" ht="15" hidden="1" customHeight="1">
      <c r="A378" s="140" t="s">
        <v>85</v>
      </c>
      <c r="B378" s="112" t="s">
        <v>25</v>
      </c>
      <c r="C378" s="66"/>
      <c r="D378" s="99" t="s">
        <v>180</v>
      </c>
      <c r="E378" s="99" t="s">
        <v>89</v>
      </c>
      <c r="F378" s="111" t="s">
        <v>185</v>
      </c>
      <c r="G378" s="99" t="s">
        <v>178</v>
      </c>
      <c r="H378" s="1546"/>
      <c r="I378" s="112" t="s">
        <v>25</v>
      </c>
      <c r="J378" s="99" t="s">
        <v>137</v>
      </c>
      <c r="K378" s="99" t="s">
        <v>180</v>
      </c>
      <c r="L378" s="99" t="s">
        <v>89</v>
      </c>
      <c r="M378" s="111" t="s">
        <v>185</v>
      </c>
      <c r="N378" s="99" t="s">
        <v>178</v>
      </c>
      <c r="Q378" s="122"/>
      <c r="R378" s="123"/>
      <c r="S378" s="62"/>
      <c r="T378" s="9"/>
      <c r="U378" s="54"/>
      <c r="V378" s="54"/>
      <c r="W378" s="46"/>
      <c r="X378" s="9"/>
    </row>
    <row r="379" spans="1:24" ht="15" hidden="1" customHeight="1">
      <c r="A379" s="1553" t="s">
        <v>87</v>
      </c>
      <c r="B379" s="219" t="s">
        <v>24</v>
      </c>
      <c r="C379" s="99" t="s">
        <v>137</v>
      </c>
      <c r="D379" s="211" t="s">
        <v>24</v>
      </c>
      <c r="E379" s="188" t="s">
        <v>181</v>
      </c>
      <c r="F379" s="212" t="s">
        <v>186</v>
      </c>
      <c r="G379" s="213" t="s">
        <v>87</v>
      </c>
      <c r="H379" s="1547"/>
      <c r="I379" s="219" t="s">
        <v>24</v>
      </c>
      <c r="J379" s="211" t="s">
        <v>24</v>
      </c>
      <c r="K379" s="211" t="s">
        <v>24</v>
      </c>
      <c r="L379" s="188" t="s">
        <v>181</v>
      </c>
      <c r="M379" s="212" t="s">
        <v>186</v>
      </c>
      <c r="N379" s="213" t="s">
        <v>87</v>
      </c>
      <c r="Q379" s="122"/>
      <c r="R379" s="124"/>
      <c r="S379" s="62"/>
      <c r="T379" s="9"/>
      <c r="U379" s="54"/>
      <c r="V379" s="54"/>
      <c r="W379" s="46"/>
      <c r="X379" s="9"/>
    </row>
    <row r="380" spans="1:24" ht="15.75" hidden="1" customHeight="1">
      <c r="A380" s="1554"/>
      <c r="B380" s="220"/>
      <c r="C380" s="211" t="s">
        <v>24</v>
      </c>
      <c r="D380" s="214"/>
      <c r="E380" s="222" t="s">
        <v>31</v>
      </c>
      <c r="F380" s="223" t="s">
        <v>91</v>
      </c>
      <c r="G380" s="217" t="s">
        <v>75</v>
      </c>
      <c r="H380" s="1547"/>
      <c r="I380" s="220"/>
      <c r="J380" s="221"/>
      <c r="K380" s="214"/>
      <c r="L380" s="222" t="s">
        <v>31</v>
      </c>
      <c r="M380" s="216" t="s">
        <v>91</v>
      </c>
      <c r="N380" s="217" t="s">
        <v>75</v>
      </c>
      <c r="Q380" s="122"/>
      <c r="R380" s="124"/>
      <c r="S380" s="66"/>
      <c r="T380" s="9"/>
      <c r="U380" s="54"/>
      <c r="V380" s="54"/>
      <c r="W380" s="46"/>
      <c r="X380" s="9"/>
    </row>
    <row r="381" spans="1:24" ht="15.75" hidden="1" customHeight="1">
      <c r="A381" s="1555" t="s">
        <v>34</v>
      </c>
      <c r="B381" s="1491" t="s">
        <v>16</v>
      </c>
      <c r="C381" s="221"/>
      <c r="D381" s="70" t="s">
        <v>182</v>
      </c>
      <c r="E381" s="147">
        <v>1</v>
      </c>
      <c r="F381" s="153">
        <f>(0.9*$T$346)/(1.25+$U$346)</f>
        <v>0.13722168441432722</v>
      </c>
      <c r="G381" s="1492">
        <f>SUM(F381*E381+F382*E382+F383*E383+F384*E384)</f>
        <v>0.96055179090029053</v>
      </c>
      <c r="H381" s="1547"/>
      <c r="I381" s="1495" t="s">
        <v>19</v>
      </c>
      <c r="J381" s="1519" t="s">
        <v>155</v>
      </c>
      <c r="K381" s="70" t="s">
        <v>182</v>
      </c>
      <c r="L381" s="225">
        <v>1.5</v>
      </c>
      <c r="M381" s="153">
        <f t="shared" ref="M381:M388" si="52">(0.9*$T$344)/(1.25+$U$344)</f>
        <v>0.19754773869346734</v>
      </c>
      <c r="N381" s="1492">
        <f>SUM(M381*L381+M382*L382+M383*L383+M384*L384)</f>
        <v>1.5803819095477389</v>
      </c>
      <c r="Q381" s="122"/>
      <c r="R381" s="124"/>
      <c r="S381" s="66"/>
      <c r="T381" s="9"/>
      <c r="U381" s="54"/>
      <c r="V381" s="54"/>
      <c r="W381" s="46"/>
      <c r="X381" s="9"/>
    </row>
    <row r="382" spans="1:24" ht="15" hidden="1" customHeight="1">
      <c r="A382" s="1506"/>
      <c r="B382" s="1491"/>
      <c r="C382" s="1545" t="s">
        <v>161</v>
      </c>
      <c r="D382" s="71" t="s">
        <v>183</v>
      </c>
      <c r="E382" s="218">
        <v>2.5</v>
      </c>
      <c r="F382" s="58">
        <f t="shared" ref="F382:F384" si="53">(0.9*$T$346)/(1.25+$U$346)</f>
        <v>0.13722168441432722</v>
      </c>
      <c r="G382" s="1493"/>
      <c r="H382" s="1547"/>
      <c r="I382" s="1496"/>
      <c r="J382" s="1520"/>
      <c r="K382" s="71" t="s">
        <v>183</v>
      </c>
      <c r="L382" s="136">
        <v>2.5</v>
      </c>
      <c r="M382" s="58">
        <f t="shared" si="52"/>
        <v>0.19754773869346734</v>
      </c>
      <c r="N382" s="1493"/>
      <c r="Q382" s="122"/>
      <c r="R382" s="124"/>
      <c r="S382" s="62"/>
      <c r="T382" s="9"/>
      <c r="U382" s="54"/>
      <c r="V382" s="54"/>
      <c r="W382" s="46"/>
      <c r="X382" s="9"/>
    </row>
    <row r="383" spans="1:24" ht="15" hidden="1" customHeight="1">
      <c r="A383" s="1506"/>
      <c r="B383" s="1491"/>
      <c r="C383" s="1545"/>
      <c r="D383" s="71" t="s">
        <v>183</v>
      </c>
      <c r="E383" s="218">
        <v>2.5</v>
      </c>
      <c r="F383" s="58">
        <f t="shared" si="53"/>
        <v>0.13722168441432722</v>
      </c>
      <c r="G383" s="1493"/>
      <c r="H383" s="1547"/>
      <c r="I383" s="1496"/>
      <c r="J383" s="1520"/>
      <c r="K383" s="71" t="s">
        <v>183</v>
      </c>
      <c r="L383" s="136">
        <v>2.5</v>
      </c>
      <c r="M383" s="58">
        <f t="shared" si="52"/>
        <v>0.19754773869346734</v>
      </c>
      <c r="N383" s="1493"/>
      <c r="Q383" s="122"/>
      <c r="R383" s="124"/>
      <c r="S383" s="62"/>
      <c r="T383" s="9"/>
      <c r="U383" s="54"/>
      <c r="V383" s="54"/>
      <c r="W383" s="46"/>
      <c r="X383" s="9"/>
    </row>
    <row r="384" spans="1:24" ht="16" hidden="1">
      <c r="A384" s="1506"/>
      <c r="B384" s="1491"/>
      <c r="C384" s="1545"/>
      <c r="D384" s="72" t="s">
        <v>184</v>
      </c>
      <c r="E384" s="210">
        <v>1</v>
      </c>
      <c r="F384" s="58">
        <f t="shared" si="53"/>
        <v>0.13722168441432722</v>
      </c>
      <c r="G384" s="1494"/>
      <c r="H384" s="1547"/>
      <c r="I384" s="1497"/>
      <c r="J384" s="1521"/>
      <c r="K384" s="72" t="s">
        <v>184</v>
      </c>
      <c r="L384" s="142">
        <v>1.5</v>
      </c>
      <c r="M384" s="144">
        <f t="shared" si="52"/>
        <v>0.19754773869346734</v>
      </c>
      <c r="N384" s="1494"/>
      <c r="Q384" s="122"/>
      <c r="R384" s="124"/>
      <c r="S384" s="66"/>
      <c r="T384" s="9"/>
      <c r="U384" s="54"/>
      <c r="V384" s="54"/>
      <c r="W384" s="46"/>
      <c r="X384" s="9"/>
    </row>
    <row r="385" spans="1:24" ht="16" hidden="1">
      <c r="A385" s="1506"/>
      <c r="B385" s="1491" t="s">
        <v>17</v>
      </c>
      <c r="C385" s="1545"/>
      <c r="D385" s="70" t="s">
        <v>182</v>
      </c>
      <c r="E385" s="147">
        <v>1.5</v>
      </c>
      <c r="F385" s="153">
        <f>(0.9*$T$344)/(1.25+$U$344)</f>
        <v>0.19754773869346734</v>
      </c>
      <c r="G385" s="1492">
        <f>(E385*F385)+(E386*F386)+(E387*F387)+(E388*F388)+(E389*F389)+(E390*F390)+(E391*F391)+(E392*F392)</f>
        <v>2.5868194526520738</v>
      </c>
      <c r="H385" s="1547"/>
      <c r="I385" s="1495" t="s">
        <v>20</v>
      </c>
      <c r="J385" s="1519" t="s">
        <v>163</v>
      </c>
      <c r="K385" s="70" t="s">
        <v>182</v>
      </c>
      <c r="L385" s="225">
        <v>1.5</v>
      </c>
      <c r="M385" s="153">
        <f t="shared" si="52"/>
        <v>0.19754773869346734</v>
      </c>
      <c r="N385" s="1492">
        <f>SUM(M385*L385+M386*L386+M387*L387+M388*L388)</f>
        <v>1.1852864321608041</v>
      </c>
      <c r="Q385" s="122"/>
      <c r="R385" s="124"/>
      <c r="S385" s="66"/>
      <c r="T385" s="9"/>
      <c r="U385" s="54"/>
      <c r="V385" s="54"/>
      <c r="W385" s="46"/>
      <c r="X385" s="9"/>
    </row>
    <row r="386" spans="1:24" ht="15" hidden="1" customHeight="1">
      <c r="A386" s="1506"/>
      <c r="B386" s="1491"/>
      <c r="C386" s="1545" t="s">
        <v>153</v>
      </c>
      <c r="D386" s="71" t="s">
        <v>183</v>
      </c>
      <c r="E386" s="218">
        <v>1.5</v>
      </c>
      <c r="F386" s="58">
        <f>(0.9*$T$344)/(1.25+$U$344)</f>
        <v>0.19754773869346734</v>
      </c>
      <c r="G386" s="1493"/>
      <c r="H386" s="1547"/>
      <c r="I386" s="1496"/>
      <c r="J386" s="1520"/>
      <c r="K386" s="71" t="s">
        <v>183</v>
      </c>
      <c r="L386" s="136">
        <v>1.5</v>
      </c>
      <c r="M386" s="58">
        <f t="shared" si="52"/>
        <v>0.19754773869346734</v>
      </c>
      <c r="N386" s="1493"/>
      <c r="O386" s="126"/>
      <c r="Q386" s="122"/>
      <c r="R386" s="124"/>
      <c r="S386" s="62"/>
      <c r="T386" s="9"/>
      <c r="U386" s="54"/>
      <c r="V386" s="54"/>
      <c r="W386" s="46"/>
      <c r="X386" s="9"/>
    </row>
    <row r="387" spans="1:24" ht="15" hidden="1" customHeight="1">
      <c r="A387" s="1506"/>
      <c r="B387" s="1491"/>
      <c r="C387" s="1545"/>
      <c r="D387" s="71" t="s">
        <v>183</v>
      </c>
      <c r="E387" s="218">
        <v>1.5</v>
      </c>
      <c r="F387" s="58">
        <f>(0.9*$T$344)/(1.25+$U$344)</f>
        <v>0.19754773869346734</v>
      </c>
      <c r="G387" s="1493"/>
      <c r="H387" s="1547"/>
      <c r="I387" s="1496"/>
      <c r="J387" s="1520"/>
      <c r="K387" s="71" t="s">
        <v>183</v>
      </c>
      <c r="L387" s="136">
        <v>1.5</v>
      </c>
      <c r="M387" s="58">
        <f t="shared" si="52"/>
        <v>0.19754773869346734</v>
      </c>
      <c r="N387" s="1493"/>
      <c r="O387" s="126"/>
      <c r="Q387" s="122"/>
      <c r="R387" s="124"/>
      <c r="S387" s="62"/>
      <c r="T387" s="9"/>
      <c r="U387" s="54"/>
      <c r="V387" s="54"/>
      <c r="W387" s="46"/>
      <c r="X387" s="9"/>
    </row>
    <row r="388" spans="1:24" ht="16" hidden="1">
      <c r="A388" s="1506"/>
      <c r="B388" s="1491"/>
      <c r="C388" s="1545"/>
      <c r="D388" s="72" t="s">
        <v>184</v>
      </c>
      <c r="E388" s="210">
        <v>1.5</v>
      </c>
      <c r="F388" s="144">
        <f>(0.9*$T$344)/(1.25+$U$344)</f>
        <v>0.19754773869346734</v>
      </c>
      <c r="G388" s="1493"/>
      <c r="H388" s="1547"/>
      <c r="I388" s="1497"/>
      <c r="J388" s="1521"/>
      <c r="K388" s="72" t="s">
        <v>184</v>
      </c>
      <c r="L388" s="142">
        <v>1.5</v>
      </c>
      <c r="M388" s="144">
        <f t="shared" si="52"/>
        <v>0.19754773869346734</v>
      </c>
      <c r="N388" s="1494"/>
      <c r="O388" s="126"/>
      <c r="Q388" s="122"/>
      <c r="R388" s="124"/>
      <c r="S388" s="66"/>
      <c r="T388" s="9"/>
      <c r="U388" s="54"/>
      <c r="V388" s="54"/>
      <c r="W388" s="46"/>
      <c r="X388" s="9"/>
    </row>
    <row r="389" spans="1:24" ht="16" hidden="1">
      <c r="A389" s="1506"/>
      <c r="B389" s="1491"/>
      <c r="C389" s="1545"/>
      <c r="D389" s="70" t="s">
        <v>182</v>
      </c>
      <c r="E389" s="153">
        <v>1.1000000000000001</v>
      </c>
      <c r="F389" s="153">
        <f>(0.9*$R$344)/(1.25+$S$344)</f>
        <v>0.17862892223738067</v>
      </c>
      <c r="G389" s="1493"/>
      <c r="H389" s="1547"/>
      <c r="I389" s="1495" t="s">
        <v>9</v>
      </c>
      <c r="J389" s="1519" t="s">
        <v>162</v>
      </c>
      <c r="K389" s="70" t="s">
        <v>182</v>
      </c>
      <c r="L389" s="225">
        <v>1.5</v>
      </c>
      <c r="M389" s="153">
        <f>(0.9*$R$344)/(1.25+$S$344)</f>
        <v>0.17862892223738067</v>
      </c>
      <c r="N389" s="1492">
        <f>SUM(M389*L389+M390*L390+M391*L391+M392*L392)</f>
        <v>1.5520036848636085</v>
      </c>
      <c r="O389" s="126"/>
      <c r="Q389" s="122"/>
      <c r="R389" s="124"/>
      <c r="S389" s="66"/>
      <c r="T389" s="9"/>
      <c r="U389" s="54"/>
      <c r="V389" s="54"/>
      <c r="W389" s="46"/>
      <c r="X389" s="9"/>
    </row>
    <row r="390" spans="1:24" ht="15" hidden="1" customHeight="1">
      <c r="A390" s="1506"/>
      <c r="B390" s="1491"/>
      <c r="C390" s="1545" t="s">
        <v>165</v>
      </c>
      <c r="D390" s="71" t="s">
        <v>183</v>
      </c>
      <c r="E390" s="58">
        <v>2.5</v>
      </c>
      <c r="F390" s="58">
        <f t="shared" ref="F390:F396" si="54">(0.9*$T$344)/(1.25+$U$344)</f>
        <v>0.19754773869346734</v>
      </c>
      <c r="G390" s="1493"/>
      <c r="H390" s="1547"/>
      <c r="I390" s="1496"/>
      <c r="J390" s="1520"/>
      <c r="K390" s="71" t="s">
        <v>183</v>
      </c>
      <c r="L390" s="136">
        <v>2.5</v>
      </c>
      <c r="M390" s="58">
        <f t="shared" ref="M390:M396" si="55">(0.9*$T$344)/(1.25+$U$344)</f>
        <v>0.19754773869346734</v>
      </c>
      <c r="N390" s="1493"/>
      <c r="O390" s="126"/>
      <c r="Q390" s="122"/>
      <c r="R390" s="124"/>
      <c r="S390" s="62"/>
      <c r="T390" s="9"/>
      <c r="U390" s="54"/>
      <c r="V390" s="54"/>
      <c r="W390" s="46"/>
      <c r="X390" s="9"/>
    </row>
    <row r="391" spans="1:24" ht="15" hidden="1" customHeight="1">
      <c r="A391" s="1506"/>
      <c r="B391" s="1491"/>
      <c r="C391" s="1545"/>
      <c r="D391" s="71" t="s">
        <v>183</v>
      </c>
      <c r="E391" s="58">
        <v>2.5</v>
      </c>
      <c r="F391" s="58">
        <f t="shared" si="54"/>
        <v>0.19754773869346734</v>
      </c>
      <c r="G391" s="1493"/>
      <c r="H391" s="1547"/>
      <c r="I391" s="1496"/>
      <c r="J391" s="1520"/>
      <c r="K391" s="71" t="s">
        <v>183</v>
      </c>
      <c r="L391" s="136">
        <v>2.5</v>
      </c>
      <c r="M391" s="58">
        <f t="shared" si="55"/>
        <v>0.19754773869346734</v>
      </c>
      <c r="N391" s="1493"/>
      <c r="O391" s="126"/>
      <c r="Q391" s="122"/>
      <c r="R391" s="124"/>
      <c r="S391" s="62"/>
      <c r="T391" s="9"/>
      <c r="U391" s="54"/>
      <c r="V391" s="54"/>
      <c r="W391" s="46"/>
      <c r="X391" s="9"/>
    </row>
    <row r="392" spans="1:24" ht="16" hidden="1">
      <c r="A392" s="1506"/>
      <c r="B392" s="1491"/>
      <c r="C392" s="1545"/>
      <c r="D392" s="72" t="s">
        <v>184</v>
      </c>
      <c r="E392" s="144">
        <v>1.1000000000000001</v>
      </c>
      <c r="F392" s="144">
        <f t="shared" si="54"/>
        <v>0.19754773869346734</v>
      </c>
      <c r="G392" s="1494"/>
      <c r="H392" s="1547"/>
      <c r="I392" s="1497"/>
      <c r="J392" s="1521"/>
      <c r="K392" s="72" t="s">
        <v>184</v>
      </c>
      <c r="L392" s="142">
        <v>1.5</v>
      </c>
      <c r="M392" s="144">
        <f t="shared" si="55"/>
        <v>0.19754773869346734</v>
      </c>
      <c r="N392" s="1494"/>
      <c r="Q392" s="122"/>
      <c r="R392" s="124"/>
      <c r="S392" s="66"/>
      <c r="T392" s="9"/>
      <c r="U392" s="54"/>
      <c r="V392" s="54"/>
      <c r="W392" s="46"/>
      <c r="X392" s="9"/>
    </row>
    <row r="393" spans="1:24" ht="16" hidden="1">
      <c r="A393" s="1506"/>
      <c r="B393" s="1491" t="s">
        <v>18</v>
      </c>
      <c r="C393" s="1545"/>
      <c r="D393" s="70" t="s">
        <v>182</v>
      </c>
      <c r="E393" s="153">
        <v>1.5</v>
      </c>
      <c r="F393" s="153">
        <f t="shared" si="54"/>
        <v>0.19754773869346734</v>
      </c>
      <c r="G393" s="1492">
        <f>SUM(F393*E393+F394*E394+F395*E395+F396*E396)</f>
        <v>1.1852864321608041</v>
      </c>
      <c r="H393" s="1547"/>
      <c r="I393" s="1495" t="s">
        <v>14</v>
      </c>
      <c r="J393" s="1519" t="s">
        <v>156</v>
      </c>
      <c r="K393" s="70" t="s">
        <v>182</v>
      </c>
      <c r="L393" s="225">
        <v>0.9</v>
      </c>
      <c r="M393" s="153">
        <f t="shared" si="55"/>
        <v>0.19754773869346734</v>
      </c>
      <c r="N393" s="1492">
        <f>SUM(M393*L393+M394*L394+M395*L395+M396*L396)</f>
        <v>0.71117185929648241</v>
      </c>
      <c r="Q393" s="122"/>
      <c r="R393" s="124"/>
      <c r="S393" s="66"/>
      <c r="T393" s="9"/>
      <c r="U393" s="54"/>
      <c r="V393" s="54"/>
      <c r="W393" s="46"/>
      <c r="X393" s="9"/>
    </row>
    <row r="394" spans="1:24" ht="15" hidden="1" customHeight="1">
      <c r="A394" s="1506"/>
      <c r="B394" s="1491"/>
      <c r="C394" s="1545" t="s">
        <v>154</v>
      </c>
      <c r="D394" s="71" t="s">
        <v>183</v>
      </c>
      <c r="E394" s="58">
        <v>1.5</v>
      </c>
      <c r="F394" s="58">
        <f t="shared" si="54"/>
        <v>0.19754773869346734</v>
      </c>
      <c r="G394" s="1493"/>
      <c r="H394" s="1547"/>
      <c r="I394" s="1496"/>
      <c r="J394" s="1520"/>
      <c r="K394" s="71" t="s">
        <v>183</v>
      </c>
      <c r="L394" s="136">
        <v>0.9</v>
      </c>
      <c r="M394" s="58">
        <f t="shared" si="55"/>
        <v>0.19754773869346734</v>
      </c>
      <c r="N394" s="1493"/>
      <c r="Q394" s="122"/>
      <c r="R394" s="124"/>
      <c r="S394" s="62"/>
      <c r="T394" s="9"/>
      <c r="U394" s="54"/>
      <c r="V394" s="54"/>
      <c r="W394" s="46"/>
      <c r="X394" s="9"/>
    </row>
    <row r="395" spans="1:24" ht="15" hidden="1" customHeight="1">
      <c r="A395" s="1506"/>
      <c r="B395" s="1491"/>
      <c r="C395" s="1545"/>
      <c r="D395" s="71" t="s">
        <v>183</v>
      </c>
      <c r="E395" s="58">
        <v>1.5</v>
      </c>
      <c r="F395" s="58">
        <f t="shared" si="54"/>
        <v>0.19754773869346734</v>
      </c>
      <c r="G395" s="1493"/>
      <c r="H395" s="1547"/>
      <c r="I395" s="1496"/>
      <c r="J395" s="1520"/>
      <c r="K395" s="71" t="s">
        <v>183</v>
      </c>
      <c r="L395" s="136">
        <v>0.9</v>
      </c>
      <c r="M395" s="58">
        <f t="shared" si="55"/>
        <v>0.19754773869346734</v>
      </c>
      <c r="N395" s="1493"/>
      <c r="Q395" s="122"/>
      <c r="R395" s="124"/>
      <c r="S395" s="62"/>
      <c r="T395" s="9"/>
      <c r="U395" s="54"/>
      <c r="V395" s="54"/>
      <c r="W395" s="46"/>
      <c r="X395" s="9"/>
    </row>
    <row r="396" spans="1:24" ht="16" hidden="1">
      <c r="A396" s="1507"/>
      <c r="B396" s="1491"/>
      <c r="C396" s="1545"/>
      <c r="D396" s="72" t="s">
        <v>184</v>
      </c>
      <c r="E396" s="144">
        <v>1.5</v>
      </c>
      <c r="F396" s="144">
        <f t="shared" si="54"/>
        <v>0.19754773869346734</v>
      </c>
      <c r="G396" s="1494"/>
      <c r="H396" s="1548"/>
      <c r="I396" s="1497"/>
      <c r="J396" s="1521"/>
      <c r="K396" s="72" t="s">
        <v>184</v>
      </c>
      <c r="L396" s="142">
        <v>0.9</v>
      </c>
      <c r="M396" s="144">
        <f t="shared" si="55"/>
        <v>0.19754773869346734</v>
      </c>
      <c r="N396" s="1494"/>
      <c r="Q396" s="122"/>
      <c r="R396" s="124"/>
      <c r="S396" s="66"/>
      <c r="T396" s="9"/>
      <c r="U396" s="54"/>
      <c r="V396" s="54"/>
      <c r="W396" s="46"/>
      <c r="X396" s="9"/>
    </row>
    <row r="397" spans="1:24" ht="16" hidden="1">
      <c r="A397" s="164"/>
      <c r="B397" s="165"/>
      <c r="C397" s="1545"/>
      <c r="D397" s="62"/>
      <c r="E397" s="62"/>
      <c r="F397" s="62"/>
      <c r="G397" s="62"/>
      <c r="Q397" s="122"/>
      <c r="R397" s="124"/>
      <c r="S397" s="66"/>
      <c r="T397" s="9"/>
      <c r="U397" s="54"/>
      <c r="V397" s="54"/>
      <c r="W397" s="46"/>
      <c r="X397" s="9"/>
    </row>
    <row r="398" spans="1:24" ht="15" hidden="1" customHeight="1">
      <c r="A398" s="164"/>
      <c r="B398" s="165"/>
      <c r="C398" s="66"/>
      <c r="D398" s="62"/>
      <c r="E398" s="62"/>
      <c r="F398" s="62"/>
      <c r="G398" s="62"/>
      <c r="Q398" s="122"/>
      <c r="R398" s="124"/>
      <c r="S398" s="62"/>
      <c r="T398" s="9"/>
      <c r="U398" s="54"/>
      <c r="V398" s="54"/>
      <c r="W398" s="46"/>
      <c r="X398" s="9"/>
    </row>
    <row r="399" spans="1:24" ht="15" hidden="1" customHeight="1">
      <c r="A399" s="164"/>
      <c r="B399" s="165"/>
      <c r="C399" s="62"/>
      <c r="D399" s="62"/>
      <c r="E399" s="62"/>
      <c r="F399" s="62"/>
      <c r="G399" s="62"/>
      <c r="Q399" s="122"/>
      <c r="R399" s="124"/>
      <c r="S399" s="62"/>
      <c r="T399" s="9"/>
      <c r="U399" s="54"/>
      <c r="V399" s="54"/>
      <c r="W399" s="46"/>
      <c r="X399" s="9"/>
    </row>
    <row r="400" spans="1:24" ht="16" hidden="1">
      <c r="A400" s="164"/>
      <c r="B400" s="165"/>
      <c r="C400" s="62"/>
      <c r="D400" s="62"/>
      <c r="E400" s="62"/>
      <c r="F400" s="62"/>
      <c r="G400" s="62"/>
      <c r="Q400" s="122"/>
      <c r="R400" s="124"/>
      <c r="S400" s="66"/>
      <c r="T400" s="9"/>
      <c r="U400" s="54"/>
      <c r="V400" s="54"/>
      <c r="W400" s="46"/>
      <c r="X400" s="9"/>
    </row>
    <row r="401" spans="1:24">
      <c r="A401" s="164"/>
      <c r="Q401" s="9"/>
      <c r="R401" s="9"/>
      <c r="S401" s="9"/>
      <c r="T401" s="9"/>
      <c r="U401" s="9"/>
      <c r="V401" s="9"/>
      <c r="W401" s="9"/>
      <c r="X401" s="9"/>
    </row>
    <row r="403" spans="1:24">
      <c r="A403" s="150" t="s">
        <v>0</v>
      </c>
      <c r="B403" s="398" t="s">
        <v>566</v>
      </c>
      <c r="C403" s="399"/>
      <c r="D403" s="399"/>
      <c r="E403" s="400"/>
      <c r="F403" s="1508"/>
      <c r="G403" s="1402" t="s">
        <v>567</v>
      </c>
      <c r="H403" s="1403"/>
      <c r="I403" s="1403"/>
      <c r="J403" s="1403"/>
      <c r="K403" s="1404"/>
      <c r="L403" s="1352" t="s">
        <v>5</v>
      </c>
      <c r="M403" s="1353"/>
      <c r="N403" s="1352" t="s">
        <v>6</v>
      </c>
      <c r="O403" s="1353"/>
    </row>
    <row r="404" spans="1:24" ht="23.25" customHeight="1">
      <c r="A404" s="47">
        <v>3</v>
      </c>
      <c r="B404" s="1511" t="s">
        <v>133</v>
      </c>
      <c r="C404" s="1512"/>
      <c r="D404" s="1512"/>
      <c r="E404" s="1513"/>
      <c r="F404" s="1509"/>
      <c r="G404" s="1414" t="s">
        <v>568</v>
      </c>
      <c r="H404" s="1415"/>
      <c r="I404" s="1415"/>
      <c r="J404" s="1415"/>
      <c r="K404" s="1416"/>
      <c r="L404" s="1391" t="str">
        <f>'1.Dati'!L2:M2</f>
        <v>Prof. R. RICCIU</v>
      </c>
      <c r="M404" s="1392"/>
      <c r="N404" s="1391" t="str">
        <f>N259</f>
        <v>X</v>
      </c>
      <c r="O404" s="1392"/>
    </row>
    <row r="405" spans="1:24">
      <c r="A405" s="48" t="s">
        <v>69</v>
      </c>
      <c r="B405" s="1514"/>
      <c r="C405" s="1515"/>
      <c r="D405" s="1515"/>
      <c r="E405" s="1516"/>
      <c r="F405" s="1510"/>
      <c r="G405" s="1354" t="str">
        <f>'1.Dati'!G3:K3</f>
        <v>LAB. INTEGR. DI PROG. TECN. (TERMOFISICA DELL'EDIFICIO) a.a. 2019/2020</v>
      </c>
      <c r="H405" s="1355"/>
      <c r="I405" s="1355"/>
      <c r="J405" s="1355"/>
      <c r="K405" s="1356"/>
      <c r="L405" s="1357" t="s">
        <v>1028</v>
      </c>
      <c r="M405" s="1358"/>
      <c r="N405" s="1357" t="str">
        <f>N244</f>
        <v>Y</v>
      </c>
      <c r="O405" s="1358"/>
    </row>
    <row r="408" spans="1:24" ht="15" customHeight="1">
      <c r="A408" s="1500" t="s">
        <v>124</v>
      </c>
      <c r="B408" s="1501"/>
      <c r="C408" s="112" t="s">
        <v>25</v>
      </c>
      <c r="D408" s="786" t="s">
        <v>125</v>
      </c>
      <c r="E408" s="819" t="s">
        <v>126</v>
      </c>
      <c r="F408" s="786" t="s">
        <v>80</v>
      </c>
      <c r="G408" s="792"/>
      <c r="H408" s="787"/>
    </row>
    <row r="409" spans="1:24" ht="18" customHeight="1">
      <c r="A409" s="1500"/>
      <c r="B409" s="1501"/>
      <c r="C409" s="1504" t="s">
        <v>24</v>
      </c>
      <c r="D409" s="173" t="s">
        <v>129</v>
      </c>
      <c r="E409" s="173" t="s">
        <v>616</v>
      </c>
      <c r="F409" s="802" t="s">
        <v>131</v>
      </c>
      <c r="G409" s="803"/>
      <c r="H409" s="804"/>
    </row>
    <row r="410" spans="1:24">
      <c r="A410" s="1517" t="s">
        <v>221</v>
      </c>
      <c r="B410" s="1518"/>
      <c r="C410" s="1505"/>
      <c r="D410" s="174" t="s">
        <v>75</v>
      </c>
      <c r="E410" s="815" t="s">
        <v>75</v>
      </c>
      <c r="F410" s="805" t="s">
        <v>75</v>
      </c>
      <c r="G410" s="806"/>
      <c r="H410" s="807"/>
    </row>
    <row r="411" spans="1:24" ht="15" customHeight="1">
      <c r="A411" s="1484" t="s">
        <v>34</v>
      </c>
      <c r="B411" s="1375" t="s">
        <v>809</v>
      </c>
      <c r="C411" s="770" t="s">
        <v>9</v>
      </c>
      <c r="D411" s="808">
        <f>$I$266</f>
        <v>13.032500000000001</v>
      </c>
      <c r="E411" s="478">
        <f>D411*0.1</f>
        <v>1.3032500000000002</v>
      </c>
      <c r="F411" s="783">
        <f>D411+E411</f>
        <v>14.335750000000001</v>
      </c>
      <c r="G411" s="799">
        <f>SUM(F411:F417)</f>
        <v>104.66267777777777</v>
      </c>
      <c r="H411" s="783">
        <f>SUM(G411:G452)</f>
        <v>627.97606666666661</v>
      </c>
    </row>
    <row r="412" spans="1:24">
      <c r="A412" s="1506"/>
      <c r="B412" s="1375"/>
      <c r="C412" s="776" t="s">
        <v>804</v>
      </c>
      <c r="D412" s="218">
        <f>$I$267</f>
        <v>45.559666666666672</v>
      </c>
      <c r="E412" s="479">
        <f t="shared" ref="E412:E416" si="56">D412*0.1</f>
        <v>4.5559666666666674</v>
      </c>
      <c r="F412" s="784">
        <f t="shared" ref="F412:F416" si="57">D412+E412</f>
        <v>50.115633333333342</v>
      </c>
      <c r="G412" s="800"/>
      <c r="H412" s="784"/>
    </row>
    <row r="413" spans="1:24">
      <c r="A413" s="1506"/>
      <c r="B413" s="1375"/>
      <c r="C413" s="776" t="s">
        <v>802</v>
      </c>
      <c r="D413" s="218">
        <f>$I$269</f>
        <v>7.6771111111111106</v>
      </c>
      <c r="E413" s="479">
        <f t="shared" si="56"/>
        <v>0.76771111111111112</v>
      </c>
      <c r="F413" s="784">
        <f t="shared" si="57"/>
        <v>8.4448222222222213</v>
      </c>
      <c r="G413" s="800"/>
      <c r="H413" s="784"/>
      <c r="I413"/>
      <c r="J413"/>
      <c r="K413"/>
      <c r="L413"/>
      <c r="M413"/>
      <c r="N413"/>
      <c r="O413"/>
    </row>
    <row r="414" spans="1:24">
      <c r="A414" s="1506"/>
      <c r="B414" s="1375"/>
      <c r="C414" s="776" t="s">
        <v>587</v>
      </c>
      <c r="D414" s="218">
        <f>$I$271</f>
        <v>4.7546111111111102</v>
      </c>
      <c r="E414" s="479">
        <f t="shared" si="56"/>
        <v>0.47546111111111106</v>
      </c>
      <c r="F414" s="784">
        <f t="shared" si="57"/>
        <v>5.2300722222222209</v>
      </c>
      <c r="G414" s="800"/>
      <c r="H414" s="784"/>
      <c r="I414"/>
      <c r="J414"/>
      <c r="K414"/>
      <c r="L414"/>
      <c r="M414"/>
      <c r="N414"/>
      <c r="O414"/>
    </row>
    <row r="415" spans="1:24">
      <c r="A415" s="1506"/>
      <c r="B415" s="1375"/>
      <c r="C415" s="776" t="s">
        <v>20</v>
      </c>
      <c r="D415" s="218">
        <f>$I$272</f>
        <v>12.43172222222222</v>
      </c>
      <c r="E415" s="479">
        <f t="shared" si="56"/>
        <v>1.2431722222222221</v>
      </c>
      <c r="F415" s="784">
        <f t="shared" si="57"/>
        <v>13.674894444444442</v>
      </c>
      <c r="G415" s="800"/>
      <c r="H415" s="784"/>
      <c r="I415"/>
      <c r="J415"/>
      <c r="K415"/>
      <c r="L415"/>
      <c r="M415"/>
      <c r="N415"/>
      <c r="O415"/>
    </row>
    <row r="416" spans="1:24">
      <c r="A416" s="1506"/>
      <c r="B416" s="1375"/>
      <c r="C416" s="776" t="s">
        <v>586</v>
      </c>
      <c r="D416" s="218">
        <f>$I$275</f>
        <v>4.7546111111111102</v>
      </c>
      <c r="E416" s="479">
        <f t="shared" si="56"/>
        <v>0.47546111111111106</v>
      </c>
      <c r="F416" s="784">
        <f t="shared" si="57"/>
        <v>5.2300722222222209</v>
      </c>
      <c r="G416" s="800"/>
      <c r="H416" s="784"/>
      <c r="I416"/>
      <c r="J416"/>
      <c r="K416"/>
      <c r="L416"/>
      <c r="M416"/>
      <c r="N416"/>
      <c r="O416"/>
    </row>
    <row r="417" spans="1:15">
      <c r="A417" s="1506"/>
      <c r="B417" s="1375"/>
      <c r="C417" s="775" t="s">
        <v>19</v>
      </c>
      <c r="D417" s="210">
        <f>$I$276</f>
        <v>6.937666666666666</v>
      </c>
      <c r="E417" s="480">
        <f>D417*0.1</f>
        <v>0.69376666666666664</v>
      </c>
      <c r="F417" s="785">
        <f>D417+E417</f>
        <v>7.6314333333333328</v>
      </c>
      <c r="G417" s="801"/>
      <c r="H417" s="784"/>
      <c r="I417"/>
      <c r="J417"/>
      <c r="K417"/>
      <c r="L417"/>
      <c r="M417"/>
      <c r="N417"/>
      <c r="O417"/>
    </row>
    <row r="418" spans="1:15">
      <c r="A418" s="1506"/>
      <c r="B418" s="1490" t="s">
        <v>810</v>
      </c>
      <c r="C418" s="770" t="s">
        <v>9</v>
      </c>
      <c r="D418" s="808">
        <f>$I$266</f>
        <v>13.032500000000001</v>
      </c>
      <c r="E418" s="478">
        <f>D418*0.1</f>
        <v>1.3032500000000002</v>
      </c>
      <c r="F418" s="783">
        <f>D418+E418</f>
        <v>14.335750000000001</v>
      </c>
      <c r="G418" s="799">
        <f>SUM(F418:F424)</f>
        <v>104.66267777777777</v>
      </c>
      <c r="H418" s="784"/>
      <c r="I418"/>
      <c r="J418"/>
      <c r="K418"/>
      <c r="L418"/>
      <c r="M418"/>
      <c r="N418"/>
      <c r="O418"/>
    </row>
    <row r="419" spans="1:15">
      <c r="A419" s="1506"/>
      <c r="B419" s="1490"/>
      <c r="C419" s="776" t="s">
        <v>804</v>
      </c>
      <c r="D419" s="218">
        <f>$I$267</f>
        <v>45.559666666666672</v>
      </c>
      <c r="E419" s="479">
        <f t="shared" ref="E419:E423" si="58">D419*0.1</f>
        <v>4.5559666666666674</v>
      </c>
      <c r="F419" s="784">
        <f t="shared" ref="F419:F423" si="59">D419+E419</f>
        <v>50.115633333333342</v>
      </c>
      <c r="G419" s="800"/>
      <c r="H419" s="784"/>
      <c r="I419"/>
      <c r="J419"/>
      <c r="K419"/>
      <c r="L419"/>
      <c r="M419"/>
      <c r="N419"/>
      <c r="O419"/>
    </row>
    <row r="420" spans="1:15">
      <c r="A420" s="1506"/>
      <c r="B420" s="1490"/>
      <c r="C420" s="776" t="s">
        <v>802</v>
      </c>
      <c r="D420" s="218">
        <f>$I$269</f>
        <v>7.6771111111111106</v>
      </c>
      <c r="E420" s="479">
        <f t="shared" si="58"/>
        <v>0.76771111111111112</v>
      </c>
      <c r="F420" s="784">
        <f t="shared" si="59"/>
        <v>8.4448222222222213</v>
      </c>
      <c r="G420" s="800"/>
      <c r="H420" s="784"/>
      <c r="I420"/>
      <c r="J420"/>
      <c r="K420"/>
      <c r="L420"/>
      <c r="M420"/>
      <c r="N420"/>
      <c r="O420"/>
    </row>
    <row r="421" spans="1:15">
      <c r="A421" s="1506"/>
      <c r="B421" s="1490"/>
      <c r="C421" s="776" t="s">
        <v>587</v>
      </c>
      <c r="D421" s="218">
        <f>$I$271</f>
        <v>4.7546111111111102</v>
      </c>
      <c r="E421" s="479">
        <f t="shared" si="58"/>
        <v>0.47546111111111106</v>
      </c>
      <c r="F421" s="784">
        <f t="shared" si="59"/>
        <v>5.2300722222222209</v>
      </c>
      <c r="G421" s="800"/>
      <c r="H421" s="784"/>
      <c r="I421"/>
      <c r="J421"/>
      <c r="K421"/>
      <c r="L421"/>
      <c r="M421"/>
      <c r="N421"/>
      <c r="O421"/>
    </row>
    <row r="422" spans="1:15" ht="15" customHeight="1">
      <c r="A422" s="1506"/>
      <c r="B422" s="1490"/>
      <c r="C422" s="776" t="s">
        <v>20</v>
      </c>
      <c r="D422" s="218">
        <f>$I$272</f>
        <v>12.43172222222222</v>
      </c>
      <c r="E422" s="479">
        <f t="shared" si="58"/>
        <v>1.2431722222222221</v>
      </c>
      <c r="F422" s="784">
        <f t="shared" si="59"/>
        <v>13.674894444444442</v>
      </c>
      <c r="G422" s="800"/>
      <c r="H422" s="784"/>
      <c r="I422"/>
      <c r="J422"/>
      <c r="K422"/>
      <c r="L422"/>
      <c r="M422"/>
      <c r="N422"/>
      <c r="O422"/>
    </row>
    <row r="423" spans="1:15">
      <c r="A423" s="1506"/>
      <c r="B423" s="1490"/>
      <c r="C423" s="776" t="s">
        <v>586</v>
      </c>
      <c r="D423" s="218">
        <f>$I$275</f>
        <v>4.7546111111111102</v>
      </c>
      <c r="E423" s="479">
        <f t="shared" si="58"/>
        <v>0.47546111111111106</v>
      </c>
      <c r="F423" s="784">
        <f t="shared" si="59"/>
        <v>5.2300722222222209</v>
      </c>
      <c r="G423" s="800"/>
      <c r="H423" s="784"/>
      <c r="I423"/>
      <c r="J423"/>
      <c r="K423"/>
      <c r="L423"/>
      <c r="M423"/>
      <c r="N423"/>
      <c r="O423"/>
    </row>
    <row r="424" spans="1:15">
      <c r="A424" s="1507"/>
      <c r="B424" s="1490"/>
      <c r="C424" s="775" t="s">
        <v>19</v>
      </c>
      <c r="D424" s="210">
        <f>$I$276</f>
        <v>6.937666666666666</v>
      </c>
      <c r="E424" s="480">
        <f>D424*0.1</f>
        <v>0.69376666666666664</v>
      </c>
      <c r="F424" s="785">
        <f>D424+E424</f>
        <v>7.6314333333333328</v>
      </c>
      <c r="G424" s="801"/>
      <c r="H424" s="784"/>
      <c r="I424"/>
      <c r="J424"/>
      <c r="K424"/>
      <c r="L424"/>
      <c r="M424"/>
      <c r="N424"/>
      <c r="O424"/>
    </row>
    <row r="425" spans="1:15" ht="15" customHeight="1">
      <c r="A425" s="1369" t="s">
        <v>860</v>
      </c>
      <c r="B425" s="1375" t="s">
        <v>809</v>
      </c>
      <c r="C425" s="770" t="s">
        <v>9</v>
      </c>
      <c r="D425" s="808">
        <f>$I$266</f>
        <v>13.032500000000001</v>
      </c>
      <c r="E425" s="478">
        <f>D425*0.1</f>
        <v>1.3032500000000002</v>
      </c>
      <c r="F425" s="783">
        <f>D425+E425</f>
        <v>14.335750000000001</v>
      </c>
      <c r="G425" s="799">
        <f>SUM(F425:F431)</f>
        <v>104.66267777777777</v>
      </c>
      <c r="H425" s="784"/>
      <c r="I425"/>
      <c r="J425"/>
      <c r="K425"/>
      <c r="L425"/>
      <c r="M425"/>
      <c r="N425"/>
      <c r="O425"/>
    </row>
    <row r="426" spans="1:15">
      <c r="A426" s="1506"/>
      <c r="B426" s="1375"/>
      <c r="C426" s="776" t="s">
        <v>804</v>
      </c>
      <c r="D426" s="218">
        <f>$I$267</f>
        <v>45.559666666666672</v>
      </c>
      <c r="E426" s="479">
        <f t="shared" ref="E426:E430" si="60">D426*0.1</f>
        <v>4.5559666666666674</v>
      </c>
      <c r="F426" s="784">
        <f t="shared" ref="F426:F430" si="61">D426+E426</f>
        <v>50.115633333333342</v>
      </c>
      <c r="G426" s="800"/>
      <c r="H426" s="784"/>
      <c r="I426"/>
      <c r="J426"/>
      <c r="K426"/>
      <c r="L426"/>
      <c r="M426"/>
      <c r="N426"/>
      <c r="O426"/>
    </row>
    <row r="427" spans="1:15">
      <c r="A427" s="1506"/>
      <c r="B427" s="1375"/>
      <c r="C427" s="776" t="s">
        <v>802</v>
      </c>
      <c r="D427" s="218">
        <f>$I$269</f>
        <v>7.6771111111111106</v>
      </c>
      <c r="E427" s="479">
        <f t="shared" si="60"/>
        <v>0.76771111111111112</v>
      </c>
      <c r="F427" s="784">
        <f t="shared" si="61"/>
        <v>8.4448222222222213</v>
      </c>
      <c r="G427" s="800"/>
      <c r="H427" s="784"/>
      <c r="I427"/>
      <c r="J427"/>
      <c r="K427"/>
      <c r="L427"/>
      <c r="M427"/>
      <c r="N427"/>
      <c r="O427"/>
    </row>
    <row r="428" spans="1:15">
      <c r="A428" s="1506"/>
      <c r="B428" s="1375"/>
      <c r="C428" s="776" t="s">
        <v>587</v>
      </c>
      <c r="D428" s="218">
        <f>$I$271</f>
        <v>4.7546111111111102</v>
      </c>
      <c r="E428" s="479">
        <f t="shared" si="60"/>
        <v>0.47546111111111106</v>
      </c>
      <c r="F428" s="784">
        <f t="shared" si="61"/>
        <v>5.2300722222222209</v>
      </c>
      <c r="G428" s="800"/>
      <c r="H428" s="784"/>
      <c r="I428"/>
      <c r="J428"/>
      <c r="K428"/>
      <c r="L428"/>
      <c r="M428"/>
      <c r="N428"/>
      <c r="O428"/>
    </row>
    <row r="429" spans="1:15">
      <c r="A429" s="1506"/>
      <c r="B429" s="1375"/>
      <c r="C429" s="776" t="s">
        <v>20</v>
      </c>
      <c r="D429" s="218">
        <f>$I$272</f>
        <v>12.43172222222222</v>
      </c>
      <c r="E429" s="479">
        <f t="shared" si="60"/>
        <v>1.2431722222222221</v>
      </c>
      <c r="F429" s="784">
        <f t="shared" si="61"/>
        <v>13.674894444444442</v>
      </c>
      <c r="G429" s="800"/>
      <c r="H429" s="784"/>
      <c r="I429"/>
      <c r="J429"/>
      <c r="K429"/>
      <c r="L429"/>
      <c r="M429"/>
      <c r="N429"/>
      <c r="O429"/>
    </row>
    <row r="430" spans="1:15">
      <c r="A430" s="1506"/>
      <c r="B430" s="1375"/>
      <c r="C430" s="776" t="s">
        <v>586</v>
      </c>
      <c r="D430" s="218">
        <f>$I$275</f>
        <v>4.7546111111111102</v>
      </c>
      <c r="E430" s="479">
        <f t="shared" si="60"/>
        <v>0.47546111111111106</v>
      </c>
      <c r="F430" s="784">
        <f t="shared" si="61"/>
        <v>5.2300722222222209</v>
      </c>
      <c r="G430" s="800"/>
      <c r="H430" s="784"/>
      <c r="I430"/>
      <c r="J430"/>
      <c r="K430"/>
      <c r="L430"/>
      <c r="M430"/>
      <c r="N430"/>
      <c r="O430"/>
    </row>
    <row r="431" spans="1:15">
      <c r="A431" s="1506"/>
      <c r="B431" s="1375"/>
      <c r="C431" s="775" t="s">
        <v>19</v>
      </c>
      <c r="D431" s="210">
        <f>$I$276</f>
        <v>6.937666666666666</v>
      </c>
      <c r="E431" s="480">
        <f>D431*0.1</f>
        <v>0.69376666666666664</v>
      </c>
      <c r="F431" s="785">
        <f>D431+E431</f>
        <v>7.6314333333333328</v>
      </c>
      <c r="G431" s="801"/>
      <c r="H431" s="784"/>
      <c r="I431"/>
      <c r="J431"/>
      <c r="K431"/>
      <c r="L431"/>
      <c r="M431"/>
      <c r="N431"/>
      <c r="O431"/>
    </row>
    <row r="432" spans="1:15">
      <c r="A432" s="1506"/>
      <c r="B432" s="1490" t="s">
        <v>810</v>
      </c>
      <c r="C432" s="770" t="s">
        <v>9</v>
      </c>
      <c r="D432" s="808">
        <f>$I$266</f>
        <v>13.032500000000001</v>
      </c>
      <c r="E432" s="478">
        <f>D432*0.1</f>
        <v>1.3032500000000002</v>
      </c>
      <c r="F432" s="783">
        <f>D432+E432</f>
        <v>14.335750000000001</v>
      </c>
      <c r="G432" s="799">
        <f>SUM(F432:F438)</f>
        <v>104.66267777777777</v>
      </c>
      <c r="H432" s="784"/>
      <c r="I432"/>
      <c r="J432"/>
      <c r="K432"/>
      <c r="L432"/>
      <c r="M432"/>
      <c r="N432"/>
      <c r="O432"/>
    </row>
    <row r="433" spans="1:15">
      <c r="A433" s="1506"/>
      <c r="B433" s="1490"/>
      <c r="C433" s="776" t="s">
        <v>804</v>
      </c>
      <c r="D433" s="218">
        <f>$I$267</f>
        <v>45.559666666666672</v>
      </c>
      <c r="E433" s="479">
        <f t="shared" ref="E433:E437" si="62">D433*0.1</f>
        <v>4.5559666666666674</v>
      </c>
      <c r="F433" s="784">
        <f t="shared" ref="F433:F437" si="63">D433+E433</f>
        <v>50.115633333333342</v>
      </c>
      <c r="G433" s="800"/>
      <c r="H433" s="784"/>
      <c r="I433"/>
      <c r="J433"/>
      <c r="K433"/>
      <c r="L433"/>
      <c r="M433"/>
      <c r="N433"/>
      <c r="O433"/>
    </row>
    <row r="434" spans="1:15">
      <c r="A434" s="1506"/>
      <c r="B434" s="1490"/>
      <c r="C434" s="776" t="s">
        <v>802</v>
      </c>
      <c r="D434" s="218">
        <f>$I$269</f>
        <v>7.6771111111111106</v>
      </c>
      <c r="E434" s="479">
        <f t="shared" si="62"/>
        <v>0.76771111111111112</v>
      </c>
      <c r="F434" s="784">
        <f t="shared" si="63"/>
        <v>8.4448222222222213</v>
      </c>
      <c r="G434" s="800"/>
      <c r="H434" s="784"/>
      <c r="I434"/>
      <c r="J434"/>
      <c r="K434"/>
      <c r="L434"/>
      <c r="M434"/>
      <c r="N434"/>
      <c r="O434"/>
    </row>
    <row r="435" spans="1:15">
      <c r="A435" s="1506"/>
      <c r="B435" s="1490"/>
      <c r="C435" s="776" t="s">
        <v>587</v>
      </c>
      <c r="D435" s="218">
        <f>$I$271</f>
        <v>4.7546111111111102</v>
      </c>
      <c r="E435" s="479">
        <f t="shared" si="62"/>
        <v>0.47546111111111106</v>
      </c>
      <c r="F435" s="784">
        <f t="shared" si="63"/>
        <v>5.2300722222222209</v>
      </c>
      <c r="G435" s="800"/>
      <c r="H435" s="784"/>
      <c r="I435"/>
      <c r="J435"/>
      <c r="K435"/>
      <c r="L435"/>
      <c r="M435"/>
      <c r="N435"/>
      <c r="O435"/>
    </row>
    <row r="436" spans="1:15">
      <c r="A436" s="1506"/>
      <c r="B436" s="1490"/>
      <c r="C436" s="776" t="s">
        <v>20</v>
      </c>
      <c r="D436" s="218">
        <f>$I$272</f>
        <v>12.43172222222222</v>
      </c>
      <c r="E436" s="479">
        <f t="shared" si="62"/>
        <v>1.2431722222222221</v>
      </c>
      <c r="F436" s="784">
        <f t="shared" si="63"/>
        <v>13.674894444444442</v>
      </c>
      <c r="G436" s="800"/>
      <c r="H436" s="784"/>
      <c r="I436"/>
      <c r="J436"/>
      <c r="K436"/>
      <c r="L436"/>
      <c r="M436"/>
      <c r="N436"/>
      <c r="O436"/>
    </row>
    <row r="437" spans="1:15">
      <c r="A437" s="1506"/>
      <c r="B437" s="1490"/>
      <c r="C437" s="776" t="s">
        <v>586</v>
      </c>
      <c r="D437" s="218">
        <f>$I$275</f>
        <v>4.7546111111111102</v>
      </c>
      <c r="E437" s="479">
        <f t="shared" si="62"/>
        <v>0.47546111111111106</v>
      </c>
      <c r="F437" s="784">
        <f t="shared" si="63"/>
        <v>5.2300722222222209</v>
      </c>
      <c r="G437" s="800"/>
      <c r="H437" s="784"/>
      <c r="I437"/>
      <c r="J437"/>
      <c r="K437"/>
      <c r="L437"/>
      <c r="M437"/>
      <c r="N437"/>
      <c r="O437"/>
    </row>
    <row r="438" spans="1:15">
      <c r="A438" s="1507"/>
      <c r="B438" s="1490"/>
      <c r="C438" s="775" t="s">
        <v>19</v>
      </c>
      <c r="D438" s="210">
        <f>$I$276</f>
        <v>6.937666666666666</v>
      </c>
      <c r="E438" s="480">
        <f>D438*0.1</f>
        <v>0.69376666666666664</v>
      </c>
      <c r="F438" s="785">
        <f>D438+E438</f>
        <v>7.6314333333333328</v>
      </c>
      <c r="G438" s="801"/>
      <c r="H438" s="784"/>
      <c r="I438"/>
      <c r="J438"/>
      <c r="K438"/>
      <c r="L438"/>
      <c r="M438"/>
      <c r="N438"/>
      <c r="O438"/>
    </row>
    <row r="439" spans="1:15" ht="15" customHeight="1">
      <c r="A439" s="1369" t="s">
        <v>857</v>
      </c>
      <c r="B439" s="1375" t="s">
        <v>809</v>
      </c>
      <c r="C439" s="770" t="s">
        <v>9</v>
      </c>
      <c r="D439" s="808">
        <f>$I$266</f>
        <v>13.032500000000001</v>
      </c>
      <c r="E439" s="478">
        <f>D439*0.1</f>
        <v>1.3032500000000002</v>
      </c>
      <c r="F439" s="783">
        <f>D439+E439</f>
        <v>14.335750000000001</v>
      </c>
      <c r="G439" s="799">
        <f>SUM(F439:F445)</f>
        <v>104.66267777777777</v>
      </c>
      <c r="H439" s="784"/>
      <c r="I439"/>
      <c r="J439"/>
      <c r="K439"/>
      <c r="L439"/>
      <c r="M439"/>
      <c r="N439"/>
      <c r="O439"/>
    </row>
    <row r="440" spans="1:15">
      <c r="A440" s="1506"/>
      <c r="B440" s="1375"/>
      <c r="C440" s="776" t="s">
        <v>804</v>
      </c>
      <c r="D440" s="218">
        <f>$I$267</f>
        <v>45.559666666666672</v>
      </c>
      <c r="E440" s="479">
        <f t="shared" ref="E440:E444" si="64">D440*0.1</f>
        <v>4.5559666666666674</v>
      </c>
      <c r="F440" s="784">
        <f t="shared" ref="F440:F444" si="65">D440+E440</f>
        <v>50.115633333333342</v>
      </c>
      <c r="G440" s="800"/>
      <c r="H440" s="784"/>
      <c r="I440"/>
      <c r="J440"/>
      <c r="K440"/>
      <c r="L440"/>
      <c r="M440"/>
      <c r="N440"/>
      <c r="O440"/>
    </row>
    <row r="441" spans="1:15">
      <c r="A441" s="1506"/>
      <c r="B441" s="1375"/>
      <c r="C441" s="776" t="s">
        <v>802</v>
      </c>
      <c r="D441" s="218">
        <f>$I$269</f>
        <v>7.6771111111111106</v>
      </c>
      <c r="E441" s="479">
        <f t="shared" si="64"/>
        <v>0.76771111111111112</v>
      </c>
      <c r="F441" s="784">
        <f t="shared" si="65"/>
        <v>8.4448222222222213</v>
      </c>
      <c r="G441" s="800"/>
      <c r="H441" s="784"/>
      <c r="I441"/>
      <c r="J441"/>
      <c r="K441"/>
      <c r="L441"/>
      <c r="M441"/>
      <c r="N441"/>
      <c r="O441"/>
    </row>
    <row r="442" spans="1:15">
      <c r="A442" s="1506"/>
      <c r="B442" s="1375"/>
      <c r="C442" s="776" t="s">
        <v>587</v>
      </c>
      <c r="D442" s="218">
        <f>$I$271</f>
        <v>4.7546111111111102</v>
      </c>
      <c r="E442" s="479">
        <f t="shared" si="64"/>
        <v>0.47546111111111106</v>
      </c>
      <c r="F442" s="784">
        <f t="shared" si="65"/>
        <v>5.2300722222222209</v>
      </c>
      <c r="G442" s="800"/>
      <c r="H442" s="784"/>
      <c r="I442"/>
      <c r="J442"/>
      <c r="K442"/>
      <c r="L442"/>
      <c r="M442"/>
      <c r="N442"/>
      <c r="O442"/>
    </row>
    <row r="443" spans="1:15">
      <c r="A443" s="1506"/>
      <c r="B443" s="1375"/>
      <c r="C443" s="776" t="s">
        <v>20</v>
      </c>
      <c r="D443" s="218">
        <f>$I$272</f>
        <v>12.43172222222222</v>
      </c>
      <c r="E443" s="479">
        <f t="shared" si="64"/>
        <v>1.2431722222222221</v>
      </c>
      <c r="F443" s="784">
        <f t="shared" si="65"/>
        <v>13.674894444444442</v>
      </c>
      <c r="G443" s="800"/>
      <c r="H443" s="784"/>
    </row>
    <row r="444" spans="1:15">
      <c r="A444" s="1506"/>
      <c r="B444" s="1375"/>
      <c r="C444" s="776" t="s">
        <v>586</v>
      </c>
      <c r="D444" s="218">
        <f>$I$275</f>
        <v>4.7546111111111102</v>
      </c>
      <c r="E444" s="479">
        <f t="shared" si="64"/>
        <v>0.47546111111111106</v>
      </c>
      <c r="F444" s="784">
        <f t="shared" si="65"/>
        <v>5.2300722222222209</v>
      </c>
      <c r="G444" s="800"/>
      <c r="H444" s="784"/>
    </row>
    <row r="445" spans="1:15">
      <c r="A445" s="1506"/>
      <c r="B445" s="1375"/>
      <c r="C445" s="775" t="s">
        <v>19</v>
      </c>
      <c r="D445" s="210">
        <f>$I$276</f>
        <v>6.937666666666666</v>
      </c>
      <c r="E445" s="480">
        <f>D445*0.1</f>
        <v>0.69376666666666664</v>
      </c>
      <c r="F445" s="785">
        <f>D445+E445</f>
        <v>7.6314333333333328</v>
      </c>
      <c r="G445" s="801"/>
      <c r="H445" s="784"/>
      <c r="L445" s="560"/>
      <c r="M445" s="560"/>
      <c r="N445" s="560"/>
      <c r="O445" s="560"/>
    </row>
    <row r="446" spans="1:15">
      <c r="A446" s="1506"/>
      <c r="B446" s="1490" t="s">
        <v>810</v>
      </c>
      <c r="C446" s="770" t="s">
        <v>9</v>
      </c>
      <c r="D446" s="808">
        <f>$I$266</f>
        <v>13.032500000000001</v>
      </c>
      <c r="E446" s="478">
        <f>D446*0.1</f>
        <v>1.3032500000000002</v>
      </c>
      <c r="F446" s="783">
        <f>D446+E446</f>
        <v>14.335750000000001</v>
      </c>
      <c r="G446" s="799">
        <f>SUM(F446:F452)</f>
        <v>104.66267777777777</v>
      </c>
      <c r="H446" s="784"/>
      <c r="L446" s="560"/>
      <c r="M446" s="560"/>
      <c r="N446" s="560"/>
      <c r="O446" s="560"/>
    </row>
    <row r="447" spans="1:15">
      <c r="A447" s="1506"/>
      <c r="B447" s="1490"/>
      <c r="C447" s="776" t="s">
        <v>804</v>
      </c>
      <c r="D447" s="218">
        <f>$I$267</f>
        <v>45.559666666666672</v>
      </c>
      <c r="E447" s="479">
        <f t="shared" ref="E447:E451" si="66">D447*0.1</f>
        <v>4.5559666666666674</v>
      </c>
      <c r="F447" s="784">
        <f t="shared" ref="F447:F451" si="67">D447+E447</f>
        <v>50.115633333333342</v>
      </c>
      <c r="G447" s="800"/>
      <c r="H447" s="784"/>
      <c r="L447" s="560"/>
      <c r="M447" s="560"/>
      <c r="N447" s="560"/>
      <c r="O447" s="560"/>
    </row>
    <row r="448" spans="1:15">
      <c r="A448" s="1506"/>
      <c r="B448" s="1490"/>
      <c r="C448" s="776" t="s">
        <v>802</v>
      </c>
      <c r="D448" s="218">
        <f>$I$269</f>
        <v>7.6771111111111106</v>
      </c>
      <c r="E448" s="479">
        <f t="shared" si="66"/>
        <v>0.76771111111111112</v>
      </c>
      <c r="F448" s="784">
        <f t="shared" si="67"/>
        <v>8.4448222222222213</v>
      </c>
      <c r="G448" s="800"/>
      <c r="H448" s="784"/>
      <c r="L448" s="560"/>
      <c r="M448" s="560"/>
      <c r="N448" s="560"/>
      <c r="O448" s="560"/>
    </row>
    <row r="449" spans="1:15">
      <c r="A449" s="1506"/>
      <c r="B449" s="1490"/>
      <c r="C449" s="776" t="s">
        <v>587</v>
      </c>
      <c r="D449" s="218">
        <f>$I$271</f>
        <v>4.7546111111111102</v>
      </c>
      <c r="E449" s="479">
        <f t="shared" si="66"/>
        <v>0.47546111111111106</v>
      </c>
      <c r="F449" s="784">
        <f t="shared" si="67"/>
        <v>5.2300722222222209</v>
      </c>
      <c r="G449" s="800"/>
      <c r="H449" s="784"/>
      <c r="L449" s="560"/>
      <c r="M449" s="560"/>
      <c r="N449" s="560"/>
      <c r="O449" s="560"/>
    </row>
    <row r="450" spans="1:15">
      <c r="A450" s="1506"/>
      <c r="B450" s="1490"/>
      <c r="C450" s="776" t="s">
        <v>20</v>
      </c>
      <c r="D450" s="218">
        <f>$I$272</f>
        <v>12.43172222222222</v>
      </c>
      <c r="E450" s="479">
        <f t="shared" si="66"/>
        <v>1.2431722222222221</v>
      </c>
      <c r="F450" s="784">
        <f t="shared" si="67"/>
        <v>13.674894444444442</v>
      </c>
      <c r="G450" s="800"/>
      <c r="H450" s="784"/>
      <c r="L450" s="560"/>
      <c r="M450" s="560"/>
      <c r="N450" s="560"/>
      <c r="O450" s="560"/>
    </row>
    <row r="451" spans="1:15">
      <c r="A451" s="1506"/>
      <c r="B451" s="1490"/>
      <c r="C451" s="776" t="s">
        <v>586</v>
      </c>
      <c r="D451" s="218">
        <f>$I$275</f>
        <v>4.7546111111111102</v>
      </c>
      <c r="E451" s="479">
        <f t="shared" si="66"/>
        <v>0.47546111111111106</v>
      </c>
      <c r="F451" s="784">
        <f t="shared" si="67"/>
        <v>5.2300722222222209</v>
      </c>
      <c r="G451" s="800"/>
      <c r="H451" s="784"/>
      <c r="L451" s="560"/>
      <c r="M451" s="560"/>
      <c r="N451" s="560"/>
      <c r="O451" s="560"/>
    </row>
    <row r="452" spans="1:15">
      <c r="A452" s="1507"/>
      <c r="B452" s="1490"/>
      <c r="C452" s="775" t="s">
        <v>19</v>
      </c>
      <c r="D452" s="210">
        <f>$I$276</f>
        <v>6.937666666666666</v>
      </c>
      <c r="E452" s="480">
        <f>D452*0.1</f>
        <v>0.69376666666666664</v>
      </c>
      <c r="F452" s="785">
        <f>D452+E452</f>
        <v>7.6314333333333328</v>
      </c>
      <c r="G452" s="801"/>
      <c r="H452" s="785"/>
    </row>
    <row r="453" spans="1:15">
      <c r="B453" s="382"/>
      <c r="C453" s="401"/>
      <c r="D453" s="401"/>
      <c r="E453" s="401"/>
      <c r="F453" s="382"/>
      <c r="G453" s="382"/>
    </row>
    <row r="456" spans="1:15">
      <c r="A456" s="150" t="s">
        <v>0</v>
      </c>
      <c r="B456" s="398" t="s">
        <v>566</v>
      </c>
      <c r="C456" s="399"/>
      <c r="D456" s="399"/>
      <c r="E456" s="400"/>
      <c r="F456" s="1508"/>
      <c r="G456" s="1402" t="s">
        <v>567</v>
      </c>
      <c r="H456" s="1403"/>
      <c r="I456" s="1403"/>
      <c r="J456" s="1403"/>
      <c r="K456" s="1404"/>
      <c r="L456" s="1352" t="s">
        <v>5</v>
      </c>
      <c r="M456" s="1353"/>
      <c r="N456" s="1352" t="s">
        <v>6</v>
      </c>
      <c r="O456" s="1353"/>
    </row>
    <row r="457" spans="1:15" ht="23.25" customHeight="1">
      <c r="A457" s="47">
        <v>3</v>
      </c>
      <c r="B457" s="1511" t="s">
        <v>222</v>
      </c>
      <c r="C457" s="1512"/>
      <c r="D457" s="1512"/>
      <c r="E457" s="1513"/>
      <c r="F457" s="1509"/>
      <c r="G457" s="1414" t="s">
        <v>568</v>
      </c>
      <c r="H457" s="1415"/>
      <c r="I457" s="1415"/>
      <c r="J457" s="1415"/>
      <c r="K457" s="1416"/>
      <c r="L457" s="1391" t="str">
        <f>'1.Dati'!L2:M2</f>
        <v>Prof. R. RICCIU</v>
      </c>
      <c r="M457" s="1392"/>
      <c r="N457" s="1391" t="str">
        <f>N404</f>
        <v>X</v>
      </c>
      <c r="O457" s="1392"/>
    </row>
    <row r="458" spans="1:15">
      <c r="A458" s="48" t="s">
        <v>70</v>
      </c>
      <c r="B458" s="1514"/>
      <c r="C458" s="1515"/>
      <c r="D458" s="1515"/>
      <c r="E458" s="1516"/>
      <c r="F458" s="1510"/>
      <c r="G458" s="1354" t="str">
        <f>'1.Dati'!G3:K3</f>
        <v>LAB. INTEGR. DI PROG. TECN. (TERMOFISICA DELL'EDIFICIO) a.a. 2019/2020</v>
      </c>
      <c r="H458" s="1355"/>
      <c r="I458" s="1355"/>
      <c r="J458" s="1355"/>
      <c r="K458" s="1356"/>
      <c r="L458" s="1357" t="s">
        <v>1028</v>
      </c>
      <c r="M458" s="1358"/>
      <c r="N458" s="1357" t="str">
        <f>N405</f>
        <v>Y</v>
      </c>
      <c r="O458" s="1358"/>
    </row>
    <row r="461" spans="1:15" ht="15" customHeight="1">
      <c r="A461" s="1500" t="s">
        <v>124</v>
      </c>
      <c r="B461" s="1501"/>
      <c r="C461" s="112" t="s">
        <v>25</v>
      </c>
      <c r="D461" s="786" t="s">
        <v>223</v>
      </c>
      <c r="E461" s="819" t="s">
        <v>224</v>
      </c>
      <c r="F461" s="786" t="s">
        <v>225</v>
      </c>
      <c r="G461" s="792"/>
      <c r="H461" s="787"/>
    </row>
    <row r="462" spans="1:15" ht="18" customHeight="1">
      <c r="A462" s="1500"/>
      <c r="B462" s="1501"/>
      <c r="C462" s="1498" t="s">
        <v>24</v>
      </c>
      <c r="D462" s="812" t="s">
        <v>337</v>
      </c>
      <c r="E462" s="224" t="s">
        <v>337</v>
      </c>
      <c r="F462" s="811" t="s">
        <v>337</v>
      </c>
      <c r="G462" s="812"/>
      <c r="H462" s="813"/>
    </row>
    <row r="463" spans="1:15">
      <c r="A463" s="1502" t="s">
        <v>226</v>
      </c>
      <c r="B463" s="1503"/>
      <c r="C463" s="1499"/>
      <c r="D463" s="815" t="s">
        <v>75</v>
      </c>
      <c r="E463" s="174" t="s">
        <v>75</v>
      </c>
      <c r="F463" s="805" t="s">
        <v>75</v>
      </c>
      <c r="G463" s="814"/>
      <c r="H463" s="815"/>
    </row>
    <row r="464" spans="1:15" ht="15" customHeight="1">
      <c r="A464" s="1484" t="s">
        <v>34</v>
      </c>
      <c r="B464" s="1481" t="s">
        <v>809</v>
      </c>
      <c r="C464" s="774" t="s">
        <v>9</v>
      </c>
      <c r="D464" s="783">
        <f t="shared" ref="D464:D495" si="68">F179</f>
        <v>7.9749999999999996</v>
      </c>
      <c r="E464" s="793">
        <f>F411</f>
        <v>14.335750000000001</v>
      </c>
      <c r="F464" s="899">
        <f>D464+E464</f>
        <v>22.310749999999999</v>
      </c>
      <c r="G464" s="796">
        <f>SUM(F464:F473)</f>
        <v>183.38967777777779</v>
      </c>
      <c r="H464" s="796">
        <f>SUM(G464:G522)</f>
        <v>976.95106666666663</v>
      </c>
      <c r="I464" s="850"/>
    </row>
    <row r="465" spans="1:15">
      <c r="A465" s="1485"/>
      <c r="B465" s="1482"/>
      <c r="C465" s="776" t="s">
        <v>804</v>
      </c>
      <c r="D465" s="900">
        <f t="shared" si="68"/>
        <v>25.256</v>
      </c>
      <c r="E465" s="912">
        <f>F412</f>
        <v>50.115633333333342</v>
      </c>
      <c r="F465" s="900">
        <f>D465+E465</f>
        <v>75.371633333333335</v>
      </c>
      <c r="G465" s="904"/>
      <c r="H465" s="904"/>
      <c r="I465" s="850"/>
    </row>
    <row r="466" spans="1:15">
      <c r="A466" s="1485"/>
      <c r="B466" s="1482"/>
      <c r="C466" s="866" t="s">
        <v>22</v>
      </c>
      <c r="D466" s="900">
        <f t="shared" si="68"/>
        <v>2.3210000000000002</v>
      </c>
      <c r="E466" s="904">
        <v>0</v>
      </c>
      <c r="F466" s="900">
        <f t="shared" ref="F466:F523" si="69">D466+E466</f>
        <v>2.3210000000000002</v>
      </c>
      <c r="G466" s="904"/>
      <c r="H466" s="904"/>
      <c r="I466" s="65"/>
      <c r="J466"/>
      <c r="K466"/>
      <c r="L466"/>
      <c r="M466"/>
      <c r="N466"/>
      <c r="O466"/>
    </row>
    <row r="467" spans="1:15">
      <c r="A467" s="1485"/>
      <c r="B467" s="1482"/>
      <c r="C467" s="866" t="s">
        <v>803</v>
      </c>
      <c r="D467" s="900">
        <f t="shared" si="68"/>
        <v>3.4759999999999995</v>
      </c>
      <c r="E467" s="904">
        <v>0</v>
      </c>
      <c r="F467" s="900">
        <f t="shared" si="69"/>
        <v>3.4759999999999995</v>
      </c>
      <c r="G467" s="904"/>
      <c r="H467" s="904"/>
      <c r="I467" s="65"/>
      <c r="J467"/>
      <c r="K467"/>
      <c r="L467"/>
      <c r="M467"/>
      <c r="N467"/>
      <c r="O467"/>
    </row>
    <row r="468" spans="1:15">
      <c r="A468" s="1485"/>
      <c r="B468" s="1482"/>
      <c r="C468" s="866" t="s">
        <v>802</v>
      </c>
      <c r="D468" s="900">
        <f t="shared" si="68"/>
        <v>7.3699999999999992</v>
      </c>
      <c r="E468" s="912">
        <f t="shared" ref="E468:E472" si="70">F413</f>
        <v>8.4448222222222213</v>
      </c>
      <c r="F468" s="900">
        <f t="shared" si="69"/>
        <v>15.814822222222221</v>
      </c>
      <c r="G468" s="904"/>
      <c r="H468" s="904"/>
      <c r="I468" s="65"/>
      <c r="J468"/>
      <c r="K468"/>
      <c r="L468"/>
      <c r="M468"/>
      <c r="N468"/>
      <c r="O468"/>
    </row>
    <row r="469" spans="1:15">
      <c r="A469" s="1485"/>
      <c r="B469" s="1482"/>
      <c r="C469" s="866" t="s">
        <v>587</v>
      </c>
      <c r="D469" s="900">
        <f t="shared" si="68"/>
        <v>2.9590000000000001</v>
      </c>
      <c r="E469" s="912">
        <f t="shared" si="70"/>
        <v>5.2300722222222209</v>
      </c>
      <c r="F469" s="900">
        <f t="shared" si="69"/>
        <v>8.1890722222222205</v>
      </c>
      <c r="G469" s="904"/>
      <c r="H469" s="904"/>
      <c r="I469" s="65"/>
      <c r="J469"/>
      <c r="K469"/>
      <c r="L469"/>
      <c r="M469"/>
      <c r="N469"/>
      <c r="O469"/>
    </row>
    <row r="470" spans="1:15" ht="15" customHeight="1">
      <c r="A470" s="1485"/>
      <c r="B470" s="1482"/>
      <c r="C470" s="866" t="s">
        <v>20</v>
      </c>
      <c r="D470" s="900">
        <f t="shared" si="68"/>
        <v>8.327</v>
      </c>
      <c r="E470" s="912">
        <f t="shared" si="70"/>
        <v>13.674894444444442</v>
      </c>
      <c r="F470" s="900">
        <f t="shared" si="69"/>
        <v>22.001894444444442</v>
      </c>
      <c r="G470" s="904"/>
      <c r="H470" s="904"/>
      <c r="I470" s="65"/>
      <c r="J470"/>
      <c r="K470"/>
      <c r="L470"/>
      <c r="M470"/>
      <c r="N470"/>
      <c r="O470"/>
    </row>
    <row r="471" spans="1:15" ht="15" customHeight="1">
      <c r="A471" s="1485"/>
      <c r="B471" s="1482"/>
      <c r="C471" s="866" t="s">
        <v>586</v>
      </c>
      <c r="D471" s="900">
        <f t="shared" si="68"/>
        <v>3.5089999999999999</v>
      </c>
      <c r="E471" s="912">
        <f t="shared" si="70"/>
        <v>5.2300722222222209</v>
      </c>
      <c r="F471" s="900">
        <f t="shared" si="69"/>
        <v>8.7390722222222212</v>
      </c>
      <c r="G471" s="904"/>
      <c r="H471" s="904"/>
      <c r="I471"/>
      <c r="J471"/>
      <c r="K471"/>
      <c r="L471"/>
      <c r="M471"/>
      <c r="N471"/>
      <c r="O471"/>
    </row>
    <row r="472" spans="1:15" ht="15" customHeight="1">
      <c r="A472" s="1485"/>
      <c r="B472" s="1482"/>
      <c r="C472" s="866" t="s">
        <v>19</v>
      </c>
      <c r="D472" s="900">
        <f>F187</f>
        <v>12.749000000000001</v>
      </c>
      <c r="E472" s="912">
        <f t="shared" si="70"/>
        <v>7.6314333333333328</v>
      </c>
      <c r="F472" s="900">
        <f>D472+E472</f>
        <v>20.380433333333333</v>
      </c>
      <c r="G472" s="904"/>
      <c r="H472" s="904"/>
      <c r="I472"/>
      <c r="J472"/>
      <c r="K472"/>
      <c r="L472"/>
      <c r="M472"/>
      <c r="N472"/>
      <c r="O472"/>
    </row>
    <row r="473" spans="1:15" ht="15" customHeight="1">
      <c r="A473" s="1485"/>
      <c r="B473" s="1483"/>
      <c r="C473" s="866" t="s">
        <v>588</v>
      </c>
      <c r="D473" s="901">
        <f t="shared" si="68"/>
        <v>4.7849999999999993</v>
      </c>
      <c r="E473" s="905">
        <v>0</v>
      </c>
      <c r="F473" s="901">
        <f t="shared" si="69"/>
        <v>4.7849999999999993</v>
      </c>
      <c r="G473" s="905"/>
      <c r="H473" s="905"/>
      <c r="I473"/>
      <c r="J473"/>
      <c r="K473"/>
      <c r="L473"/>
      <c r="M473"/>
      <c r="N473"/>
      <c r="O473"/>
    </row>
    <row r="474" spans="1:15" ht="15" customHeight="1">
      <c r="A474" s="1485"/>
      <c r="B474" s="1487" t="s">
        <v>810</v>
      </c>
      <c r="C474" s="868" t="s">
        <v>9</v>
      </c>
      <c r="D474" s="900">
        <f t="shared" si="68"/>
        <v>7.9749999999999996</v>
      </c>
      <c r="E474" s="912">
        <f>F418</f>
        <v>14.335750000000001</v>
      </c>
      <c r="F474" s="900">
        <f t="shared" si="69"/>
        <v>22.310749999999999</v>
      </c>
      <c r="G474" s="904">
        <f>SUM(F474:F483)</f>
        <v>183.75267777777779</v>
      </c>
      <c r="H474" s="904"/>
      <c r="I474"/>
      <c r="J474"/>
      <c r="K474"/>
      <c r="L474"/>
      <c r="M474"/>
      <c r="N474"/>
      <c r="O474"/>
    </row>
    <row r="475" spans="1:15" ht="15" customHeight="1">
      <c r="A475" s="1485"/>
      <c r="B475" s="1488"/>
      <c r="C475" s="866" t="s">
        <v>804</v>
      </c>
      <c r="D475" s="900">
        <f t="shared" si="68"/>
        <v>25.256</v>
      </c>
      <c r="E475" s="912">
        <f t="shared" ref="E475" si="71">F419</f>
        <v>50.115633333333342</v>
      </c>
      <c r="F475" s="900">
        <f t="shared" si="69"/>
        <v>75.371633333333335</v>
      </c>
      <c r="G475" s="904"/>
      <c r="H475" s="904"/>
      <c r="I475"/>
      <c r="J475"/>
      <c r="K475"/>
      <c r="L475"/>
      <c r="M475"/>
      <c r="N475"/>
      <c r="O475"/>
    </row>
    <row r="476" spans="1:15" ht="15" customHeight="1">
      <c r="A476" s="1485"/>
      <c r="B476" s="1488"/>
      <c r="C476" s="866" t="s">
        <v>22</v>
      </c>
      <c r="D476" s="900">
        <f t="shared" si="68"/>
        <v>2.3210000000000002</v>
      </c>
      <c r="E476" s="904">
        <v>0</v>
      </c>
      <c r="F476" s="900">
        <f t="shared" si="69"/>
        <v>2.3210000000000002</v>
      </c>
      <c r="G476" s="904"/>
      <c r="H476" s="904"/>
      <c r="I476"/>
      <c r="J476"/>
      <c r="K476"/>
      <c r="L476"/>
      <c r="M476"/>
      <c r="N476"/>
      <c r="O476"/>
    </row>
    <row r="477" spans="1:15" ht="15" customHeight="1">
      <c r="A477" s="1485"/>
      <c r="B477" s="1488"/>
      <c r="C477" s="866" t="s">
        <v>803</v>
      </c>
      <c r="D477" s="900">
        <f t="shared" si="68"/>
        <v>3.8389999999999995</v>
      </c>
      <c r="E477" s="904">
        <v>0</v>
      </c>
      <c r="F477" s="900">
        <f t="shared" si="69"/>
        <v>3.8389999999999995</v>
      </c>
      <c r="G477" s="904"/>
      <c r="H477" s="904"/>
      <c r="I477"/>
      <c r="J477"/>
      <c r="K477"/>
      <c r="L477"/>
      <c r="M477"/>
      <c r="N477"/>
      <c r="O477"/>
    </row>
    <row r="478" spans="1:15" ht="15" customHeight="1">
      <c r="A478" s="1485"/>
      <c r="B478" s="1488"/>
      <c r="C478" s="866" t="s">
        <v>802</v>
      </c>
      <c r="D478" s="900">
        <f t="shared" si="68"/>
        <v>7.3699999999999992</v>
      </c>
      <c r="E478" s="912">
        <f t="shared" ref="E478:E482" si="72">F420</f>
        <v>8.4448222222222213</v>
      </c>
      <c r="F478" s="900">
        <f t="shared" si="69"/>
        <v>15.814822222222221</v>
      </c>
      <c r="G478" s="904"/>
      <c r="H478" s="904"/>
      <c r="I478"/>
      <c r="J478"/>
      <c r="K478"/>
      <c r="L478"/>
      <c r="M478"/>
      <c r="N478"/>
      <c r="O478"/>
    </row>
    <row r="479" spans="1:15" ht="15" customHeight="1">
      <c r="A479" s="1485"/>
      <c r="B479" s="1488"/>
      <c r="C479" s="866" t="s">
        <v>587</v>
      </c>
      <c r="D479" s="900">
        <f t="shared" si="68"/>
        <v>2.9590000000000001</v>
      </c>
      <c r="E479" s="912">
        <f t="shared" si="72"/>
        <v>5.2300722222222209</v>
      </c>
      <c r="F479" s="900">
        <f t="shared" si="69"/>
        <v>8.1890722222222205</v>
      </c>
      <c r="G479" s="904"/>
      <c r="H479" s="904"/>
      <c r="I479"/>
      <c r="J479"/>
      <c r="K479"/>
      <c r="L479"/>
      <c r="M479"/>
      <c r="N479"/>
      <c r="O479"/>
    </row>
    <row r="480" spans="1:15" ht="15" customHeight="1">
      <c r="A480" s="1485"/>
      <c r="B480" s="1488"/>
      <c r="C480" s="866" t="s">
        <v>20</v>
      </c>
      <c r="D480" s="900">
        <f t="shared" si="68"/>
        <v>8.327</v>
      </c>
      <c r="E480" s="912">
        <f t="shared" si="72"/>
        <v>13.674894444444442</v>
      </c>
      <c r="F480" s="900">
        <f t="shared" si="69"/>
        <v>22.001894444444442</v>
      </c>
      <c r="G480" s="904"/>
      <c r="H480" s="904"/>
      <c r="I480"/>
      <c r="J480"/>
      <c r="K480"/>
      <c r="L480"/>
      <c r="M480"/>
      <c r="N480"/>
      <c r="O480"/>
    </row>
    <row r="481" spans="1:15" ht="15" customHeight="1">
      <c r="A481" s="1485"/>
      <c r="B481" s="1488"/>
      <c r="C481" s="866" t="s">
        <v>586</v>
      </c>
      <c r="D481" s="900">
        <f t="shared" si="68"/>
        <v>3.5089999999999999</v>
      </c>
      <c r="E481" s="912">
        <f t="shared" si="72"/>
        <v>5.2300722222222209</v>
      </c>
      <c r="F481" s="900">
        <f t="shared" si="69"/>
        <v>8.7390722222222212</v>
      </c>
      <c r="G481" s="904"/>
      <c r="H481" s="904"/>
      <c r="I481"/>
      <c r="J481"/>
      <c r="K481"/>
      <c r="L481"/>
      <c r="M481"/>
      <c r="N481"/>
      <c r="O481"/>
    </row>
    <row r="482" spans="1:15" ht="15" customHeight="1">
      <c r="A482" s="1485"/>
      <c r="B482" s="1488"/>
      <c r="C482" s="866" t="s">
        <v>19</v>
      </c>
      <c r="D482" s="900">
        <f t="shared" si="68"/>
        <v>12.749000000000001</v>
      </c>
      <c r="E482" s="912">
        <f t="shared" si="72"/>
        <v>7.6314333333333328</v>
      </c>
      <c r="F482" s="900">
        <f t="shared" si="69"/>
        <v>20.380433333333333</v>
      </c>
      <c r="G482" s="904"/>
      <c r="H482" s="904"/>
      <c r="I482"/>
      <c r="J482"/>
      <c r="K482"/>
      <c r="L482"/>
      <c r="M482"/>
      <c r="N482"/>
      <c r="O482"/>
    </row>
    <row r="483" spans="1:15" ht="15" customHeight="1">
      <c r="A483" s="1486"/>
      <c r="B483" s="1489"/>
      <c r="C483" s="903" t="s">
        <v>588</v>
      </c>
      <c r="D483" s="901">
        <f t="shared" si="68"/>
        <v>4.7849999999999993</v>
      </c>
      <c r="E483" s="905">
        <v>0</v>
      </c>
      <c r="F483" s="901">
        <f t="shared" si="69"/>
        <v>4.7849999999999993</v>
      </c>
      <c r="G483" s="905"/>
      <c r="H483" s="905"/>
      <c r="I483"/>
      <c r="J483"/>
      <c r="K483"/>
      <c r="L483"/>
      <c r="M483"/>
      <c r="N483"/>
      <c r="O483"/>
    </row>
    <row r="484" spans="1:15" ht="15" customHeight="1">
      <c r="A484" s="1369" t="s">
        <v>835</v>
      </c>
      <c r="B484" s="1481" t="s">
        <v>809</v>
      </c>
      <c r="C484" s="868" t="s">
        <v>9</v>
      </c>
      <c r="D484" s="900">
        <f t="shared" si="68"/>
        <v>2.4529999999999998</v>
      </c>
      <c r="E484" s="912">
        <f>F425</f>
        <v>14.335750000000001</v>
      </c>
      <c r="F484" s="900">
        <f t="shared" si="69"/>
        <v>16.78875</v>
      </c>
      <c r="G484" s="904">
        <f>SUM(F484:F493)</f>
        <v>135.17667777777777</v>
      </c>
      <c r="H484" s="904"/>
      <c r="I484"/>
      <c r="J484"/>
      <c r="K484"/>
      <c r="L484"/>
      <c r="M484"/>
      <c r="N484"/>
      <c r="O484"/>
    </row>
    <row r="485" spans="1:15">
      <c r="A485" s="1370"/>
      <c r="B485" s="1482"/>
      <c r="C485" s="866" t="s">
        <v>804</v>
      </c>
      <c r="D485" s="900">
        <f t="shared" si="68"/>
        <v>11.275</v>
      </c>
      <c r="E485" s="912">
        <f t="shared" ref="E485" si="73">F426</f>
        <v>50.115633333333342</v>
      </c>
      <c r="F485" s="900">
        <f t="shared" si="69"/>
        <v>61.390633333333341</v>
      </c>
      <c r="G485" s="904"/>
      <c r="H485" s="904"/>
      <c r="I485"/>
      <c r="J485"/>
      <c r="K485"/>
      <c r="L485"/>
      <c r="M485"/>
      <c r="N485"/>
      <c r="O485"/>
    </row>
    <row r="486" spans="1:15">
      <c r="A486" s="1370"/>
      <c r="B486" s="1482"/>
      <c r="C486" s="866" t="s">
        <v>22</v>
      </c>
      <c r="D486" s="900">
        <f t="shared" si="68"/>
        <v>0.56100000000000005</v>
      </c>
      <c r="E486" s="904">
        <v>0</v>
      </c>
      <c r="F486" s="900">
        <f t="shared" si="69"/>
        <v>0.56100000000000005</v>
      </c>
      <c r="G486" s="904"/>
      <c r="H486" s="904"/>
      <c r="I486"/>
      <c r="J486"/>
      <c r="K486"/>
      <c r="L486"/>
      <c r="M486"/>
      <c r="N486"/>
      <c r="O486"/>
    </row>
    <row r="487" spans="1:15">
      <c r="A487" s="1370"/>
      <c r="B487" s="1482"/>
      <c r="C487" s="866" t="s">
        <v>803</v>
      </c>
      <c r="D487" s="900">
        <f t="shared" si="68"/>
        <v>2.9479999999999995</v>
      </c>
      <c r="E487" s="904">
        <v>0</v>
      </c>
      <c r="F487" s="900">
        <f t="shared" si="69"/>
        <v>2.9479999999999995</v>
      </c>
      <c r="G487" s="904"/>
      <c r="H487" s="904"/>
      <c r="I487"/>
      <c r="J487"/>
      <c r="K487"/>
      <c r="L487"/>
      <c r="M487"/>
      <c r="N487"/>
      <c r="O487"/>
    </row>
    <row r="488" spans="1:15">
      <c r="A488" s="1370"/>
      <c r="B488" s="1482"/>
      <c r="C488" s="866" t="s">
        <v>802</v>
      </c>
      <c r="D488" s="900">
        <f t="shared" si="68"/>
        <v>1.573</v>
      </c>
      <c r="E488" s="912">
        <f t="shared" ref="E488:E492" si="74">F427</f>
        <v>8.4448222222222213</v>
      </c>
      <c r="F488" s="900">
        <f t="shared" si="69"/>
        <v>10.017822222222222</v>
      </c>
      <c r="G488" s="904"/>
      <c r="H488" s="904"/>
      <c r="I488"/>
      <c r="J488"/>
      <c r="K488"/>
      <c r="L488"/>
      <c r="M488"/>
      <c r="N488"/>
      <c r="O488"/>
    </row>
    <row r="489" spans="1:15">
      <c r="A489" s="1370"/>
      <c r="B489" s="1482"/>
      <c r="C489" s="866" t="s">
        <v>587</v>
      </c>
      <c r="D489" s="900">
        <f t="shared" si="68"/>
        <v>0.90199999999999991</v>
      </c>
      <c r="E489" s="912">
        <f t="shared" si="74"/>
        <v>5.2300722222222209</v>
      </c>
      <c r="F489" s="900">
        <f t="shared" si="69"/>
        <v>6.132072222222221</v>
      </c>
      <c r="G489" s="904"/>
      <c r="H489" s="904"/>
      <c r="I489"/>
      <c r="J489"/>
      <c r="K489"/>
      <c r="L489"/>
      <c r="M489"/>
      <c r="N489"/>
      <c r="O489"/>
    </row>
    <row r="490" spans="1:15">
      <c r="A490" s="1370"/>
      <c r="B490" s="1482"/>
      <c r="C490" s="866" t="s">
        <v>20</v>
      </c>
      <c r="D490" s="900">
        <f t="shared" si="68"/>
        <v>3.2450000000000001</v>
      </c>
      <c r="E490" s="912">
        <f t="shared" si="74"/>
        <v>13.674894444444442</v>
      </c>
      <c r="F490" s="900">
        <f t="shared" si="69"/>
        <v>16.919894444444441</v>
      </c>
      <c r="G490" s="904"/>
      <c r="H490" s="904"/>
      <c r="I490"/>
      <c r="J490"/>
      <c r="K490"/>
      <c r="L490"/>
      <c r="M490"/>
      <c r="N490"/>
      <c r="O490"/>
    </row>
    <row r="491" spans="1:15">
      <c r="A491" s="1370"/>
      <c r="B491" s="1482"/>
      <c r="C491" s="866" t="s">
        <v>586</v>
      </c>
      <c r="D491" s="900">
        <f t="shared" si="68"/>
        <v>1.2869999999999999</v>
      </c>
      <c r="E491" s="912">
        <f t="shared" si="74"/>
        <v>5.2300722222222209</v>
      </c>
      <c r="F491" s="900">
        <f t="shared" si="69"/>
        <v>6.5170722222222208</v>
      </c>
      <c r="G491" s="904"/>
      <c r="H491" s="904"/>
      <c r="I491"/>
      <c r="J491"/>
      <c r="K491"/>
      <c r="L491"/>
      <c r="M491"/>
      <c r="N491"/>
      <c r="O491"/>
    </row>
    <row r="492" spans="1:15">
      <c r="A492" s="1370"/>
      <c r="B492" s="1482"/>
      <c r="C492" s="866" t="s">
        <v>19</v>
      </c>
      <c r="D492" s="900">
        <f t="shared" si="68"/>
        <v>5.2469999999999999</v>
      </c>
      <c r="E492" s="912">
        <f t="shared" si="74"/>
        <v>7.6314333333333328</v>
      </c>
      <c r="F492" s="900">
        <f t="shared" si="69"/>
        <v>12.878433333333334</v>
      </c>
      <c r="G492" s="904"/>
      <c r="H492" s="904"/>
      <c r="I492"/>
      <c r="J492"/>
      <c r="K492"/>
      <c r="L492"/>
      <c r="M492"/>
      <c r="N492"/>
      <c r="O492"/>
    </row>
    <row r="493" spans="1:15">
      <c r="A493" s="1370"/>
      <c r="B493" s="1483"/>
      <c r="C493" s="866" t="s">
        <v>588</v>
      </c>
      <c r="D493" s="901">
        <f t="shared" si="68"/>
        <v>1.0230000000000001</v>
      </c>
      <c r="E493" s="905">
        <v>0</v>
      </c>
      <c r="F493" s="901">
        <f t="shared" si="69"/>
        <v>1.0230000000000001</v>
      </c>
      <c r="G493" s="905"/>
      <c r="H493" s="905"/>
      <c r="I493"/>
      <c r="J493"/>
      <c r="K493"/>
      <c r="L493"/>
      <c r="M493"/>
      <c r="N493"/>
      <c r="O493"/>
    </row>
    <row r="494" spans="1:15" ht="15" customHeight="1">
      <c r="A494" s="1370"/>
      <c r="B494" s="1487" t="s">
        <v>810</v>
      </c>
      <c r="C494" s="868" t="s">
        <v>9</v>
      </c>
      <c r="D494" s="900">
        <f t="shared" si="68"/>
        <v>2.4529999999999998</v>
      </c>
      <c r="E494" s="912">
        <f>F432</f>
        <v>14.335750000000001</v>
      </c>
      <c r="F494" s="900">
        <f t="shared" si="69"/>
        <v>16.78875</v>
      </c>
      <c r="G494" s="904">
        <f>SUM(F494:F503)</f>
        <v>135.17667777777777</v>
      </c>
      <c r="H494" s="904"/>
      <c r="I494"/>
      <c r="J494"/>
      <c r="K494"/>
      <c r="L494"/>
      <c r="M494"/>
      <c r="N494"/>
      <c r="O494"/>
    </row>
    <row r="495" spans="1:15">
      <c r="A495" s="1370"/>
      <c r="B495" s="1488"/>
      <c r="C495" s="866" t="s">
        <v>804</v>
      </c>
      <c r="D495" s="900">
        <f t="shared" si="68"/>
        <v>11.275</v>
      </c>
      <c r="E495" s="912">
        <f t="shared" ref="E495" si="75">F433</f>
        <v>50.115633333333342</v>
      </c>
      <c r="F495" s="900">
        <f t="shared" si="69"/>
        <v>61.390633333333341</v>
      </c>
      <c r="G495" s="904"/>
      <c r="H495" s="904"/>
      <c r="I495"/>
      <c r="J495"/>
      <c r="K495"/>
      <c r="L495"/>
      <c r="M495"/>
      <c r="N495"/>
      <c r="O495"/>
    </row>
    <row r="496" spans="1:15">
      <c r="A496" s="1370"/>
      <c r="B496" s="1488"/>
      <c r="C496" s="866" t="s">
        <v>22</v>
      </c>
      <c r="D496" s="900">
        <f t="shared" ref="D496:D513" si="76">F211</f>
        <v>0.56100000000000005</v>
      </c>
      <c r="E496" s="904">
        <v>0</v>
      </c>
      <c r="F496" s="900">
        <f t="shared" si="69"/>
        <v>0.56100000000000005</v>
      </c>
      <c r="G496" s="904"/>
      <c r="H496" s="904"/>
      <c r="I496"/>
      <c r="J496"/>
      <c r="K496"/>
      <c r="L496"/>
      <c r="M496"/>
      <c r="N496"/>
      <c r="O496"/>
    </row>
    <row r="497" spans="1:15">
      <c r="A497" s="1370"/>
      <c r="B497" s="1488"/>
      <c r="C497" s="866" t="s">
        <v>803</v>
      </c>
      <c r="D497" s="900">
        <f t="shared" si="76"/>
        <v>2.9479999999999995</v>
      </c>
      <c r="E497" s="904">
        <v>0</v>
      </c>
      <c r="F497" s="900">
        <f t="shared" si="69"/>
        <v>2.9479999999999995</v>
      </c>
      <c r="G497" s="904"/>
      <c r="H497" s="904"/>
      <c r="I497"/>
      <c r="J497"/>
      <c r="K497"/>
      <c r="L497"/>
      <c r="M497"/>
      <c r="N497"/>
      <c r="O497"/>
    </row>
    <row r="498" spans="1:15">
      <c r="A498" s="1370"/>
      <c r="B498" s="1488"/>
      <c r="C498" s="866" t="s">
        <v>802</v>
      </c>
      <c r="D498" s="900">
        <f t="shared" si="76"/>
        <v>1.573</v>
      </c>
      <c r="E498" s="912">
        <f t="shared" ref="E498:E502" si="77">F434</f>
        <v>8.4448222222222213</v>
      </c>
      <c r="F498" s="900">
        <f t="shared" si="69"/>
        <v>10.017822222222222</v>
      </c>
      <c r="G498" s="904"/>
      <c r="H498" s="904"/>
      <c r="I498"/>
      <c r="J498"/>
      <c r="K498"/>
      <c r="L498"/>
      <c r="M498"/>
      <c r="N498"/>
      <c r="O498"/>
    </row>
    <row r="499" spans="1:15">
      <c r="A499" s="1370"/>
      <c r="B499" s="1488"/>
      <c r="C499" s="866" t="s">
        <v>587</v>
      </c>
      <c r="D499" s="900">
        <f t="shared" si="76"/>
        <v>0.90199999999999991</v>
      </c>
      <c r="E499" s="912">
        <f t="shared" si="77"/>
        <v>5.2300722222222209</v>
      </c>
      <c r="F499" s="900">
        <f t="shared" si="69"/>
        <v>6.132072222222221</v>
      </c>
      <c r="G499" s="904"/>
      <c r="H499" s="904"/>
      <c r="I499"/>
      <c r="J499"/>
      <c r="K499"/>
      <c r="L499"/>
      <c r="M499"/>
      <c r="N499"/>
      <c r="O499"/>
    </row>
    <row r="500" spans="1:15">
      <c r="A500" s="1370"/>
      <c r="B500" s="1488"/>
      <c r="C500" s="866" t="s">
        <v>20</v>
      </c>
      <c r="D500" s="900">
        <f t="shared" si="76"/>
        <v>3.2450000000000001</v>
      </c>
      <c r="E500" s="912">
        <f t="shared" si="77"/>
        <v>13.674894444444442</v>
      </c>
      <c r="F500" s="900">
        <f t="shared" si="69"/>
        <v>16.919894444444441</v>
      </c>
      <c r="G500" s="904"/>
      <c r="H500" s="904"/>
      <c r="I500"/>
      <c r="J500"/>
      <c r="K500"/>
      <c r="L500"/>
      <c r="M500"/>
      <c r="N500"/>
      <c r="O500"/>
    </row>
    <row r="501" spans="1:15">
      <c r="A501" s="1370"/>
      <c r="B501" s="1488"/>
      <c r="C501" s="866" t="s">
        <v>586</v>
      </c>
      <c r="D501" s="900">
        <f t="shared" si="76"/>
        <v>1.2869999999999999</v>
      </c>
      <c r="E501" s="912">
        <f t="shared" si="77"/>
        <v>5.2300722222222209</v>
      </c>
      <c r="F501" s="900">
        <f t="shared" si="69"/>
        <v>6.5170722222222208</v>
      </c>
      <c r="G501" s="904"/>
      <c r="H501" s="904"/>
      <c r="I501"/>
      <c r="J501"/>
      <c r="K501"/>
      <c r="L501"/>
      <c r="M501"/>
      <c r="N501"/>
      <c r="O501"/>
    </row>
    <row r="502" spans="1:15">
      <c r="A502" s="1370"/>
      <c r="B502" s="1488"/>
      <c r="C502" s="866" t="s">
        <v>19</v>
      </c>
      <c r="D502" s="900">
        <f t="shared" si="76"/>
        <v>5.2469999999999999</v>
      </c>
      <c r="E502" s="912">
        <f t="shared" si="77"/>
        <v>7.6314333333333328</v>
      </c>
      <c r="F502" s="900">
        <f t="shared" si="69"/>
        <v>12.878433333333334</v>
      </c>
      <c r="G502" s="904"/>
      <c r="H502" s="904"/>
      <c r="I502"/>
      <c r="J502"/>
      <c r="K502"/>
      <c r="L502"/>
      <c r="M502"/>
      <c r="N502"/>
      <c r="O502"/>
    </row>
    <row r="503" spans="1:15">
      <c r="A503" s="1371"/>
      <c r="B503" s="1489"/>
      <c r="C503" s="869" t="s">
        <v>588</v>
      </c>
      <c r="D503" s="901">
        <f t="shared" si="76"/>
        <v>1.0230000000000001</v>
      </c>
      <c r="E503" s="905">
        <v>0</v>
      </c>
      <c r="F503" s="901">
        <f t="shared" si="69"/>
        <v>1.0230000000000001</v>
      </c>
      <c r="G503" s="905"/>
      <c r="H503" s="905"/>
      <c r="I503"/>
      <c r="J503"/>
      <c r="K503"/>
      <c r="L503"/>
      <c r="M503"/>
      <c r="N503"/>
      <c r="O503"/>
    </row>
    <row r="504" spans="1:15" ht="15" customHeight="1">
      <c r="A504" s="1377" t="s">
        <v>857</v>
      </c>
      <c r="B504" s="1375" t="s">
        <v>809</v>
      </c>
      <c r="C504" s="921" t="s">
        <v>9</v>
      </c>
      <c r="D504" s="900">
        <f t="shared" si="76"/>
        <v>6.2479999999999993</v>
      </c>
      <c r="E504" s="912">
        <f>F439</f>
        <v>14.335750000000001</v>
      </c>
      <c r="F504" s="900">
        <f t="shared" si="69"/>
        <v>20.583750000000002</v>
      </c>
      <c r="G504" s="904">
        <f>SUM(F504:F513)</f>
        <v>169.72767777777779</v>
      </c>
      <c r="H504" s="904"/>
      <c r="I504"/>
      <c r="J504"/>
      <c r="K504"/>
      <c r="L504"/>
      <c r="M504"/>
      <c r="N504"/>
      <c r="O504"/>
    </row>
    <row r="505" spans="1:15">
      <c r="A505" s="1377"/>
      <c r="B505" s="1375"/>
      <c r="C505" s="921" t="s">
        <v>804</v>
      </c>
      <c r="D505" s="900">
        <f t="shared" si="76"/>
        <v>20.889000000000003</v>
      </c>
      <c r="E505" s="912">
        <f t="shared" ref="E505" si="78">F440</f>
        <v>50.115633333333342</v>
      </c>
      <c r="F505" s="900">
        <f t="shared" si="69"/>
        <v>71.004633333333345</v>
      </c>
      <c r="G505" s="904"/>
      <c r="H505" s="904"/>
      <c r="I505"/>
      <c r="J505"/>
      <c r="K505"/>
      <c r="L505"/>
      <c r="M505"/>
      <c r="N505"/>
      <c r="O505"/>
    </row>
    <row r="506" spans="1:15">
      <c r="A506" s="1377"/>
      <c r="B506" s="1375"/>
      <c r="C506" s="921" t="s">
        <v>22</v>
      </c>
      <c r="D506" s="900">
        <f t="shared" si="76"/>
        <v>1.7710000000000001</v>
      </c>
      <c r="E506" s="904">
        <v>0</v>
      </c>
      <c r="F506" s="900">
        <f t="shared" si="69"/>
        <v>1.7710000000000001</v>
      </c>
      <c r="G506" s="904"/>
      <c r="H506" s="904"/>
      <c r="I506"/>
      <c r="J506"/>
      <c r="K506"/>
      <c r="L506"/>
      <c r="M506"/>
      <c r="N506"/>
      <c r="O506"/>
    </row>
    <row r="507" spans="1:15">
      <c r="A507" s="1377"/>
      <c r="B507" s="1375"/>
      <c r="C507" s="921" t="s">
        <v>803</v>
      </c>
      <c r="D507" s="900">
        <f t="shared" si="76"/>
        <v>3.5529999999999995</v>
      </c>
      <c r="E507" s="904">
        <v>0</v>
      </c>
      <c r="F507" s="900">
        <f t="shared" si="69"/>
        <v>3.5529999999999995</v>
      </c>
      <c r="G507" s="904"/>
      <c r="H507" s="904"/>
      <c r="I507"/>
      <c r="J507"/>
      <c r="K507"/>
      <c r="L507"/>
      <c r="M507"/>
      <c r="N507"/>
      <c r="O507"/>
    </row>
    <row r="508" spans="1:15">
      <c r="A508" s="1377"/>
      <c r="B508" s="1375"/>
      <c r="C508" s="921" t="s">
        <v>802</v>
      </c>
      <c r="D508" s="900">
        <f t="shared" si="76"/>
        <v>5.5549999999999997</v>
      </c>
      <c r="E508" s="912">
        <f t="shared" ref="E508:E512" si="79">F441</f>
        <v>8.4448222222222213</v>
      </c>
      <c r="F508" s="900">
        <f t="shared" si="69"/>
        <v>13.999822222222221</v>
      </c>
      <c r="G508" s="904"/>
      <c r="H508" s="904"/>
      <c r="I508"/>
      <c r="J508"/>
      <c r="K508"/>
      <c r="L508"/>
      <c r="M508"/>
      <c r="N508"/>
      <c r="O508"/>
    </row>
    <row r="509" spans="1:15">
      <c r="A509" s="1377"/>
      <c r="B509" s="1375"/>
      <c r="C509" s="921" t="s">
        <v>587</v>
      </c>
      <c r="D509" s="900">
        <f t="shared" si="76"/>
        <v>2.31</v>
      </c>
      <c r="E509" s="912">
        <f t="shared" si="79"/>
        <v>5.2300722222222209</v>
      </c>
      <c r="F509" s="900">
        <f t="shared" si="69"/>
        <v>7.5400722222222214</v>
      </c>
      <c r="G509" s="904"/>
      <c r="H509" s="904"/>
      <c r="I509"/>
      <c r="J509"/>
      <c r="K509"/>
      <c r="L509"/>
      <c r="M509"/>
      <c r="N509"/>
      <c r="O509"/>
    </row>
    <row r="510" spans="1:15">
      <c r="A510" s="1377"/>
      <c r="B510" s="1375"/>
      <c r="C510" s="921" t="s">
        <v>20</v>
      </c>
      <c r="D510" s="900">
        <f t="shared" si="76"/>
        <v>6.7320000000000002</v>
      </c>
      <c r="E510" s="912">
        <f t="shared" si="79"/>
        <v>13.674894444444442</v>
      </c>
      <c r="F510" s="900">
        <f t="shared" si="69"/>
        <v>20.406894444444443</v>
      </c>
      <c r="G510" s="904"/>
      <c r="H510" s="904"/>
      <c r="I510"/>
      <c r="J510"/>
      <c r="K510"/>
      <c r="L510"/>
      <c r="M510"/>
      <c r="N510"/>
      <c r="O510"/>
    </row>
    <row r="511" spans="1:15">
      <c r="A511" s="1377"/>
      <c r="B511" s="1375"/>
      <c r="C511" s="921" t="s">
        <v>586</v>
      </c>
      <c r="D511" s="900">
        <f t="shared" si="76"/>
        <v>2.8159999999999994</v>
      </c>
      <c r="E511" s="912">
        <f t="shared" si="79"/>
        <v>5.2300722222222209</v>
      </c>
      <c r="F511" s="900">
        <f t="shared" si="69"/>
        <v>8.0460722222222198</v>
      </c>
      <c r="G511" s="904"/>
      <c r="H511" s="904"/>
      <c r="I511"/>
      <c r="J511"/>
      <c r="K511"/>
      <c r="L511"/>
      <c r="M511"/>
      <c r="N511"/>
      <c r="O511"/>
    </row>
    <row r="512" spans="1:15">
      <c r="A512" s="1377"/>
      <c r="B512" s="1375"/>
      <c r="C512" s="921" t="s">
        <v>19</v>
      </c>
      <c r="D512" s="900">
        <f t="shared" si="76"/>
        <v>10.406000000000001</v>
      </c>
      <c r="E512" s="912">
        <f t="shared" si="79"/>
        <v>7.6314333333333328</v>
      </c>
      <c r="F512" s="900">
        <f t="shared" si="69"/>
        <v>18.037433333333333</v>
      </c>
      <c r="G512" s="904"/>
      <c r="H512" s="904"/>
      <c r="I512"/>
      <c r="J512"/>
      <c r="K512"/>
      <c r="L512"/>
      <c r="M512"/>
      <c r="N512"/>
      <c r="O512"/>
    </row>
    <row r="513" spans="1:15">
      <c r="A513" s="1377"/>
      <c r="B513" s="1375"/>
      <c r="C513" s="921" t="s">
        <v>588</v>
      </c>
      <c r="D513" s="901">
        <f t="shared" si="76"/>
        <v>4.7849999999999993</v>
      </c>
      <c r="E513" s="905">
        <v>0</v>
      </c>
      <c r="F513" s="901">
        <f t="shared" si="69"/>
        <v>4.7849999999999993</v>
      </c>
      <c r="G513" s="905"/>
      <c r="H513" s="905"/>
      <c r="I513"/>
      <c r="J513"/>
      <c r="K513"/>
      <c r="L513"/>
      <c r="M513"/>
      <c r="N513"/>
      <c r="O513"/>
    </row>
    <row r="514" spans="1:15" ht="15" customHeight="1">
      <c r="A514" s="1377"/>
      <c r="B514" s="1490" t="s">
        <v>810</v>
      </c>
      <c r="C514" s="920" t="s">
        <v>9</v>
      </c>
      <c r="D514" s="900">
        <f t="shared" ref="D514:D523" si="80">F229</f>
        <v>6.2479999999999993</v>
      </c>
      <c r="E514" s="912">
        <f>F446</f>
        <v>14.335750000000001</v>
      </c>
      <c r="F514" s="900">
        <f t="shared" si="69"/>
        <v>20.583750000000002</v>
      </c>
      <c r="G514" s="904">
        <f>SUM(F514:F523)</f>
        <v>169.72767777777779</v>
      </c>
      <c r="H514" s="904"/>
      <c r="I514"/>
      <c r="J514"/>
      <c r="K514"/>
      <c r="L514"/>
      <c r="M514"/>
      <c r="N514"/>
      <c r="O514"/>
    </row>
    <row r="515" spans="1:15">
      <c r="A515" s="1377"/>
      <c r="B515" s="1490"/>
      <c r="C515" s="921" t="s">
        <v>804</v>
      </c>
      <c r="D515" s="900">
        <f t="shared" si="80"/>
        <v>20.889000000000003</v>
      </c>
      <c r="E515" s="912">
        <f t="shared" ref="E515" si="81">F447</f>
        <v>50.115633333333342</v>
      </c>
      <c r="F515" s="900">
        <f t="shared" si="69"/>
        <v>71.004633333333345</v>
      </c>
      <c r="G515" s="904"/>
      <c r="H515" s="904"/>
      <c r="I515"/>
      <c r="J515"/>
      <c r="K515"/>
      <c r="L515"/>
      <c r="M515"/>
      <c r="N515"/>
      <c r="O515"/>
    </row>
    <row r="516" spans="1:15">
      <c r="A516" s="1377"/>
      <c r="B516" s="1490"/>
      <c r="C516" s="921" t="s">
        <v>22</v>
      </c>
      <c r="D516" s="900">
        <f t="shared" si="80"/>
        <v>1.7710000000000001</v>
      </c>
      <c r="E516" s="904">
        <v>0</v>
      </c>
      <c r="F516" s="900">
        <f t="shared" si="69"/>
        <v>1.7710000000000001</v>
      </c>
      <c r="G516" s="904"/>
      <c r="H516" s="904"/>
      <c r="I516"/>
      <c r="J516"/>
      <c r="K516"/>
      <c r="L516"/>
      <c r="M516"/>
      <c r="N516"/>
      <c r="O516"/>
    </row>
    <row r="517" spans="1:15">
      <c r="A517" s="1377"/>
      <c r="B517" s="1490"/>
      <c r="C517" s="921" t="s">
        <v>803</v>
      </c>
      <c r="D517" s="900">
        <f t="shared" si="80"/>
        <v>3.5529999999999995</v>
      </c>
      <c r="E517" s="904">
        <v>0</v>
      </c>
      <c r="F517" s="900">
        <f t="shared" si="69"/>
        <v>3.5529999999999995</v>
      </c>
      <c r="G517" s="904"/>
      <c r="H517" s="904"/>
      <c r="I517"/>
      <c r="J517"/>
      <c r="K517"/>
      <c r="L517"/>
      <c r="M517"/>
      <c r="N517"/>
      <c r="O517"/>
    </row>
    <row r="518" spans="1:15">
      <c r="A518" s="1377"/>
      <c r="B518" s="1490"/>
      <c r="C518" s="921" t="s">
        <v>802</v>
      </c>
      <c r="D518" s="900">
        <f t="shared" si="80"/>
        <v>5.5549999999999997</v>
      </c>
      <c r="E518" s="912">
        <f>F448</f>
        <v>8.4448222222222213</v>
      </c>
      <c r="F518" s="900">
        <f t="shared" si="69"/>
        <v>13.999822222222221</v>
      </c>
      <c r="G518" s="904"/>
      <c r="H518" s="904"/>
      <c r="I518"/>
      <c r="J518"/>
      <c r="K518"/>
      <c r="L518"/>
      <c r="M518"/>
      <c r="N518"/>
      <c r="O518"/>
    </row>
    <row r="519" spans="1:15">
      <c r="A519" s="1377"/>
      <c r="B519" s="1490"/>
      <c r="C519" s="921" t="s">
        <v>587</v>
      </c>
      <c r="D519" s="900">
        <f t="shared" si="80"/>
        <v>2.31</v>
      </c>
      <c r="E519" s="912">
        <f>F449</f>
        <v>5.2300722222222209</v>
      </c>
      <c r="F519" s="900">
        <f t="shared" si="69"/>
        <v>7.5400722222222214</v>
      </c>
      <c r="G519" s="904"/>
      <c r="H519" s="904"/>
      <c r="I519"/>
      <c r="J519"/>
      <c r="K519"/>
      <c r="L519"/>
      <c r="M519"/>
      <c r="N519"/>
      <c r="O519"/>
    </row>
    <row r="520" spans="1:15">
      <c r="A520" s="1377"/>
      <c r="B520" s="1490"/>
      <c r="C520" s="921" t="s">
        <v>20</v>
      </c>
      <c r="D520" s="900">
        <f t="shared" si="80"/>
        <v>6.7320000000000002</v>
      </c>
      <c r="E520" s="912">
        <f>F450</f>
        <v>13.674894444444442</v>
      </c>
      <c r="F520" s="900">
        <f t="shared" si="69"/>
        <v>20.406894444444443</v>
      </c>
      <c r="G520" s="904"/>
      <c r="H520" s="904"/>
      <c r="I520"/>
      <c r="J520"/>
      <c r="K520"/>
      <c r="L520"/>
      <c r="M520"/>
      <c r="N520"/>
      <c r="O520"/>
    </row>
    <row r="521" spans="1:15">
      <c r="A521" s="1377"/>
      <c r="B521" s="1490"/>
      <c r="C521" s="921" t="s">
        <v>586</v>
      </c>
      <c r="D521" s="900">
        <f t="shared" si="80"/>
        <v>2.8159999999999994</v>
      </c>
      <c r="E521" s="912">
        <f>F451</f>
        <v>5.2300722222222209</v>
      </c>
      <c r="F521" s="900">
        <f t="shared" si="69"/>
        <v>8.0460722222222198</v>
      </c>
      <c r="G521" s="904"/>
      <c r="H521" s="904"/>
      <c r="I521"/>
      <c r="J521"/>
      <c r="K521"/>
      <c r="L521"/>
      <c r="M521"/>
      <c r="N521"/>
      <c r="O521"/>
    </row>
    <row r="522" spans="1:15">
      <c r="A522" s="1377"/>
      <c r="B522" s="1490"/>
      <c r="C522" s="921" t="s">
        <v>19</v>
      </c>
      <c r="D522" s="900">
        <f t="shared" si="80"/>
        <v>10.406000000000001</v>
      </c>
      <c r="E522" s="912">
        <f>F452</f>
        <v>7.6314333333333328</v>
      </c>
      <c r="F522" s="900">
        <f t="shared" si="69"/>
        <v>18.037433333333333</v>
      </c>
      <c r="G522" s="904"/>
      <c r="H522" s="904"/>
      <c r="I522"/>
      <c r="J522"/>
      <c r="K522"/>
      <c r="L522"/>
      <c r="M522"/>
      <c r="N522"/>
      <c r="O522"/>
    </row>
    <row r="523" spans="1:15">
      <c r="A523" s="1377"/>
      <c r="B523" s="1490"/>
      <c r="C523" s="903" t="s">
        <v>588</v>
      </c>
      <c r="D523" s="901">
        <f t="shared" si="80"/>
        <v>4.7849999999999993</v>
      </c>
      <c r="E523" s="905">
        <v>0</v>
      </c>
      <c r="F523" s="901">
        <f t="shared" si="69"/>
        <v>4.7849999999999993</v>
      </c>
      <c r="G523" s="905"/>
      <c r="H523" s="905"/>
      <c r="I523"/>
      <c r="J523"/>
      <c r="K523"/>
      <c r="L523"/>
      <c r="M523"/>
      <c r="N523"/>
      <c r="O523"/>
    </row>
    <row r="524" spans="1:15">
      <c r="A524" s="897"/>
      <c r="B524" s="544"/>
      <c r="C524" s="14"/>
      <c r="I524"/>
      <c r="J524"/>
      <c r="K524"/>
      <c r="L524"/>
      <c r="M524"/>
      <c r="N524"/>
      <c r="O524"/>
    </row>
  </sheetData>
  <mergeCells count="236">
    <mergeCell ref="A199:A218"/>
    <mergeCell ref="A179:A198"/>
    <mergeCell ref="B321:B331"/>
    <mergeCell ref="C322:C323"/>
    <mergeCell ref="C324:C325"/>
    <mergeCell ref="C327:C329"/>
    <mergeCell ref="B288:B298"/>
    <mergeCell ref="C289:C290"/>
    <mergeCell ref="C291:C292"/>
    <mergeCell ref="C294:C296"/>
    <mergeCell ref="A288:A309"/>
    <mergeCell ref="B299:B309"/>
    <mergeCell ref="C300:C301"/>
    <mergeCell ref="C302:C303"/>
    <mergeCell ref="C305:C307"/>
    <mergeCell ref="B310:B320"/>
    <mergeCell ref="C311:C312"/>
    <mergeCell ref="C313:C314"/>
    <mergeCell ref="C316:C318"/>
    <mergeCell ref="B70:B86"/>
    <mergeCell ref="A70:A103"/>
    <mergeCell ref="B87:B103"/>
    <mergeCell ref="B112:B138"/>
    <mergeCell ref="A112:A165"/>
    <mergeCell ref="B139:B165"/>
    <mergeCell ref="C280:C281"/>
    <mergeCell ref="C283:C285"/>
    <mergeCell ref="A263:B263"/>
    <mergeCell ref="A264:B265"/>
    <mergeCell ref="C267:C268"/>
    <mergeCell ref="C269:C270"/>
    <mergeCell ref="C272:C274"/>
    <mergeCell ref="A266:A287"/>
    <mergeCell ref="A176:B177"/>
    <mergeCell ref="A178:B178"/>
    <mergeCell ref="B266:B276"/>
    <mergeCell ref="B179:B188"/>
    <mergeCell ref="B189:B198"/>
    <mergeCell ref="B199:B208"/>
    <mergeCell ref="B209:B218"/>
    <mergeCell ref="B219:B228"/>
    <mergeCell ref="B229:B238"/>
    <mergeCell ref="A219:A238"/>
    <mergeCell ref="A379:A380"/>
    <mergeCell ref="A381:A396"/>
    <mergeCell ref="B381:B384"/>
    <mergeCell ref="A341:A342"/>
    <mergeCell ref="B341:B342"/>
    <mergeCell ref="C342:C343"/>
    <mergeCell ref="G343:G346"/>
    <mergeCell ref="B343:B346"/>
    <mergeCell ref="C348:C351"/>
    <mergeCell ref="C352:C355"/>
    <mergeCell ref="A343:A370"/>
    <mergeCell ref="B347:B354"/>
    <mergeCell ref="G347:G354"/>
    <mergeCell ref="B355:B358"/>
    <mergeCell ref="C356:C359"/>
    <mergeCell ref="G355:G358"/>
    <mergeCell ref="B359:B362"/>
    <mergeCell ref="C360:C363"/>
    <mergeCell ref="G359:G362"/>
    <mergeCell ref="B363:B366"/>
    <mergeCell ref="C364:C367"/>
    <mergeCell ref="G363:G366"/>
    <mergeCell ref="C344:C347"/>
    <mergeCell ref="B367:B370"/>
    <mergeCell ref="C368:C371"/>
    <mergeCell ref="G367:G370"/>
    <mergeCell ref="N335:O335"/>
    <mergeCell ref="G336:K336"/>
    <mergeCell ref="L336:M336"/>
    <mergeCell ref="N336:O336"/>
    <mergeCell ref="G337:K337"/>
    <mergeCell ref="L337:M337"/>
    <mergeCell ref="N337:O337"/>
    <mergeCell ref="L335:M335"/>
    <mergeCell ref="L171:M171"/>
    <mergeCell ref="N171:O171"/>
    <mergeCell ref="A310:A331"/>
    <mergeCell ref="B242:E242"/>
    <mergeCell ref="F242:F244"/>
    <mergeCell ref="G242:K242"/>
    <mergeCell ref="L242:M242"/>
    <mergeCell ref="N242:O242"/>
    <mergeCell ref="K249:K250"/>
    <mergeCell ref="C264:C265"/>
    <mergeCell ref="B258:E258"/>
    <mergeCell ref="F258:F260"/>
    <mergeCell ref="G258:K258"/>
    <mergeCell ref="L258:M258"/>
    <mergeCell ref="N258:O258"/>
    <mergeCell ref="B259:E260"/>
    <mergeCell ref="G259:K259"/>
    <mergeCell ref="L259:M259"/>
    <mergeCell ref="N259:O259"/>
    <mergeCell ref="G260:K260"/>
    <mergeCell ref="L260:M260"/>
    <mergeCell ref="N260:O260"/>
    <mergeCell ref="B277:B287"/>
    <mergeCell ref="C278:C279"/>
    <mergeCell ref="B1:E1"/>
    <mergeCell ref="F1:F3"/>
    <mergeCell ref="G1:K1"/>
    <mergeCell ref="C68:C69"/>
    <mergeCell ref="L1:M1"/>
    <mergeCell ref="N1:O1"/>
    <mergeCell ref="B2:E3"/>
    <mergeCell ref="G2:K2"/>
    <mergeCell ref="L2:M2"/>
    <mergeCell ref="N2:O2"/>
    <mergeCell ref="G3:K3"/>
    <mergeCell ref="L3:M3"/>
    <mergeCell ref="N3:O3"/>
    <mergeCell ref="A5:B5"/>
    <mergeCell ref="A6:B7"/>
    <mergeCell ref="A67:B67"/>
    <mergeCell ref="A68:B69"/>
    <mergeCell ref="B8:B34"/>
    <mergeCell ref="A8:A61"/>
    <mergeCell ref="B35:B61"/>
    <mergeCell ref="L403:M403"/>
    <mergeCell ref="N403:O403"/>
    <mergeCell ref="G404:K404"/>
    <mergeCell ref="L404:M404"/>
    <mergeCell ref="N404:O404"/>
    <mergeCell ref="G405:K405"/>
    <mergeCell ref="L405:M405"/>
    <mergeCell ref="N405:O405"/>
    <mergeCell ref="C382:C385"/>
    <mergeCell ref="G381:G384"/>
    <mergeCell ref="I381:I384"/>
    <mergeCell ref="J381:J384"/>
    <mergeCell ref="N381:N384"/>
    <mergeCell ref="C386:C389"/>
    <mergeCell ref="G385:G392"/>
    <mergeCell ref="I385:I388"/>
    <mergeCell ref="J385:J388"/>
    <mergeCell ref="N385:N388"/>
    <mergeCell ref="C390:C393"/>
    <mergeCell ref="I389:I392"/>
    <mergeCell ref="J389:J392"/>
    <mergeCell ref="N389:N392"/>
    <mergeCell ref="H378:H396"/>
    <mergeCell ref="C394:C397"/>
    <mergeCell ref="L456:M456"/>
    <mergeCell ref="N456:O456"/>
    <mergeCell ref="A425:A438"/>
    <mergeCell ref="A439:A452"/>
    <mergeCell ref="F456:F458"/>
    <mergeCell ref="G456:K456"/>
    <mergeCell ref="G457:K457"/>
    <mergeCell ref="L457:M457"/>
    <mergeCell ref="N457:O457"/>
    <mergeCell ref="G458:K458"/>
    <mergeCell ref="L458:M458"/>
    <mergeCell ref="N458:O458"/>
    <mergeCell ref="B457:E458"/>
    <mergeCell ref="B425:B431"/>
    <mergeCell ref="B432:B438"/>
    <mergeCell ref="B439:B445"/>
    <mergeCell ref="B446:B452"/>
    <mergeCell ref="F373:F375"/>
    <mergeCell ref="B243:E244"/>
    <mergeCell ref="G243:K243"/>
    <mergeCell ref="G247:J247"/>
    <mergeCell ref="A247:C247"/>
    <mergeCell ref="D247:F247"/>
    <mergeCell ref="A249:A250"/>
    <mergeCell ref="K247:N247"/>
    <mergeCell ref="N393:N396"/>
    <mergeCell ref="L373:M373"/>
    <mergeCell ref="N373:O373"/>
    <mergeCell ref="G374:K374"/>
    <mergeCell ref="L374:M374"/>
    <mergeCell ref="N374:O374"/>
    <mergeCell ref="G375:K375"/>
    <mergeCell ref="L375:M375"/>
    <mergeCell ref="N375:O375"/>
    <mergeCell ref="G373:K373"/>
    <mergeCell ref="L243:M243"/>
    <mergeCell ref="N243:O243"/>
    <mergeCell ref="G244:K244"/>
    <mergeCell ref="L244:M244"/>
    <mergeCell ref="F335:F337"/>
    <mergeCell ref="G335:K335"/>
    <mergeCell ref="Q348:Q355"/>
    <mergeCell ref="R348:R351"/>
    <mergeCell ref="R352:R355"/>
    <mergeCell ref="V348:V355"/>
    <mergeCell ref="B172:E173"/>
    <mergeCell ref="G172:K172"/>
    <mergeCell ref="C110:C111"/>
    <mergeCell ref="C6:C7"/>
    <mergeCell ref="L172:M172"/>
    <mergeCell ref="N172:O172"/>
    <mergeCell ref="C177:C178"/>
    <mergeCell ref="G173:K173"/>
    <mergeCell ref="L173:M173"/>
    <mergeCell ref="N173:O173"/>
    <mergeCell ref="B171:E171"/>
    <mergeCell ref="F171:F173"/>
    <mergeCell ref="G171:K171"/>
    <mergeCell ref="N244:O244"/>
    <mergeCell ref="L119:M119"/>
    <mergeCell ref="N119:O119"/>
    <mergeCell ref="L121:M121"/>
    <mergeCell ref="N121:O121"/>
    <mergeCell ref="A109:B109"/>
    <mergeCell ref="A110:B111"/>
    <mergeCell ref="B385:B392"/>
    <mergeCell ref="B393:B396"/>
    <mergeCell ref="G393:G396"/>
    <mergeCell ref="I393:I396"/>
    <mergeCell ref="C462:C463"/>
    <mergeCell ref="A461:B462"/>
    <mergeCell ref="A463:B463"/>
    <mergeCell ref="C409:C410"/>
    <mergeCell ref="A411:A424"/>
    <mergeCell ref="F403:F405"/>
    <mergeCell ref="G403:K403"/>
    <mergeCell ref="B404:E405"/>
    <mergeCell ref="A408:B409"/>
    <mergeCell ref="A410:B410"/>
    <mergeCell ref="B411:B417"/>
    <mergeCell ref="B418:B424"/>
    <mergeCell ref="J393:J396"/>
    <mergeCell ref="B464:B473"/>
    <mergeCell ref="A464:A483"/>
    <mergeCell ref="B474:B483"/>
    <mergeCell ref="B484:B493"/>
    <mergeCell ref="B494:B503"/>
    <mergeCell ref="A484:A503"/>
    <mergeCell ref="B504:B513"/>
    <mergeCell ref="B514:B523"/>
    <mergeCell ref="A504:A523"/>
  </mergeCells>
  <pageMargins left="0.39370078740157483" right="0.39370078740157483" top="0.39370078740157483" bottom="0.39370078740157483" header="0.11811023622047245" footer="0.11811023622047245"/>
  <pageSetup paperSize="9" scale="73" orientation="landscape" horizontalDpi="360" verticalDpi="360" r:id="rId1"/>
  <rowBreaks count="8" manualBreakCount="8">
    <brk id="118" max="16383" man="1"/>
    <brk id="170" max="16383" man="1"/>
    <brk id="241" max="16383" man="1"/>
    <brk id="257" max="16383" man="1"/>
    <brk id="334" max="16383" man="1"/>
    <brk id="372" max="16383" man="1"/>
    <brk id="402" max="16383" man="1"/>
    <brk id="455" max="16383" man="1"/>
  </rowBreaks>
  <colBreaks count="1" manualBreakCount="1">
    <brk id="15" max="1048575" man="1"/>
  </col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X91"/>
  <sheetViews>
    <sheetView zoomScalePageLayoutView="220" workbookViewId="0">
      <selection activeCell="E15" sqref="E15"/>
    </sheetView>
  </sheetViews>
  <sheetFormatPr baseColWidth="10" defaultColWidth="8.83203125" defaultRowHeight="15"/>
  <cols>
    <col min="1" max="1" width="15.5" customWidth="1"/>
    <col min="2" max="2" width="15.6640625" customWidth="1"/>
    <col min="3" max="3" width="12.6640625" customWidth="1"/>
    <col min="4" max="4" width="16.1640625" bestFit="1" customWidth="1"/>
    <col min="5" max="5" width="12.6640625" customWidth="1"/>
    <col min="6" max="6" width="12.6640625" style="51" customWidth="1"/>
    <col min="7" max="15" width="12.6640625" customWidth="1"/>
  </cols>
  <sheetData>
    <row r="1" spans="1:24">
      <c r="A1" s="1" t="s">
        <v>0</v>
      </c>
      <c r="B1" s="1402" t="s">
        <v>566</v>
      </c>
      <c r="C1" s="1403"/>
      <c r="D1" s="1403"/>
      <c r="E1" s="1404"/>
      <c r="F1" s="1508"/>
      <c r="G1" s="1402" t="s">
        <v>567</v>
      </c>
      <c r="H1" s="1403"/>
      <c r="I1" s="1403"/>
      <c r="J1" s="1403"/>
      <c r="K1" s="1404"/>
      <c r="L1" s="1352" t="s">
        <v>5</v>
      </c>
      <c r="M1" s="1353"/>
      <c r="N1" s="1352" t="s">
        <v>6</v>
      </c>
      <c r="O1" s="1353"/>
    </row>
    <row r="2" spans="1:24" ht="24">
      <c r="A2" s="47">
        <v>4</v>
      </c>
      <c r="B2" s="1605" t="s">
        <v>232</v>
      </c>
      <c r="C2" s="1606"/>
      <c r="D2" s="1606"/>
      <c r="E2" s="1607"/>
      <c r="F2" s="1509"/>
      <c r="G2" s="1414" t="s">
        <v>568</v>
      </c>
      <c r="H2" s="1415"/>
      <c r="I2" s="1415"/>
      <c r="J2" s="1415"/>
      <c r="K2" s="1416"/>
      <c r="L2" s="1391" t="str">
        <f>'1.Dati'!L2:M2</f>
        <v>Prof. R. RICCIU</v>
      </c>
      <c r="M2" s="1392"/>
      <c r="N2" s="1391" t="str">
        <f>'3.Hd'!N457:O457</f>
        <v>X</v>
      </c>
      <c r="O2" s="1392"/>
    </row>
    <row r="3" spans="1:24">
      <c r="A3" s="48" t="s">
        <v>62</v>
      </c>
      <c r="B3" s="1608"/>
      <c r="C3" s="1609"/>
      <c r="D3" s="1609"/>
      <c r="E3" s="1610"/>
      <c r="F3" s="1510"/>
      <c r="G3" s="1354" t="str">
        <f>'1.Dati'!G3:K3</f>
        <v>LAB. INTEGR. DI PROG. TECN. (TERMOFISICA DELL'EDIFICIO) a.a. 2019/2020</v>
      </c>
      <c r="H3" s="1355"/>
      <c r="I3" s="1355"/>
      <c r="J3" s="1355"/>
      <c r="K3" s="1356"/>
      <c r="L3" s="1357" t="s">
        <v>1028</v>
      </c>
      <c r="M3" s="1358"/>
      <c r="N3" s="1357" t="str">
        <f>'3.Hd'!N458:O458</f>
        <v>Y</v>
      </c>
      <c r="O3" s="1358"/>
      <c r="Q3" s="329"/>
      <c r="R3" s="18"/>
      <c r="S3" s="41"/>
      <c r="T3" s="41"/>
      <c r="U3" s="9"/>
      <c r="V3" s="9"/>
      <c r="W3" s="9"/>
      <c r="X3" s="9"/>
    </row>
    <row r="4" spans="1:24">
      <c r="Q4" s="41"/>
      <c r="R4" s="41"/>
      <c r="S4" s="41"/>
      <c r="T4" s="41"/>
      <c r="U4" s="9"/>
      <c r="V4" s="9"/>
      <c r="W4" s="9"/>
      <c r="X4" s="9"/>
    </row>
    <row r="5" spans="1:24" ht="18">
      <c r="A5" s="1600" t="s">
        <v>294</v>
      </c>
      <c r="B5" s="1600"/>
      <c r="C5" s="1600"/>
      <c r="D5" s="1600"/>
      <c r="E5" s="1600"/>
      <c r="F5" s="1600"/>
      <c r="G5" s="1600"/>
      <c r="H5" s="1600"/>
      <c r="I5" s="1617"/>
      <c r="J5" s="1617"/>
      <c r="K5" s="1617"/>
      <c r="L5" s="1617"/>
      <c r="M5" s="1617"/>
      <c r="N5" s="1617"/>
      <c r="O5" s="1617"/>
      <c r="Q5" s="9"/>
      <c r="R5" s="9"/>
      <c r="S5" s="9"/>
      <c r="T5" s="9"/>
      <c r="U5" s="9"/>
      <c r="V5" s="9"/>
      <c r="W5" s="9"/>
      <c r="X5" s="9"/>
    </row>
    <row r="6" spans="1:24">
      <c r="I6" s="366"/>
      <c r="J6" s="366"/>
      <c r="K6" s="366"/>
      <c r="L6" s="366"/>
      <c r="M6" s="366"/>
      <c r="N6" s="366"/>
      <c r="O6" s="366"/>
      <c r="P6" s="366"/>
      <c r="Q6" s="9"/>
      <c r="R6" s="9"/>
      <c r="S6" s="9"/>
      <c r="T6" s="9"/>
      <c r="U6" s="9"/>
      <c r="V6" s="9"/>
      <c r="W6" s="9"/>
      <c r="X6" s="9"/>
    </row>
    <row r="7" spans="1:24">
      <c r="A7" s="1517" t="s">
        <v>85</v>
      </c>
      <c r="B7" s="1534"/>
      <c r="C7" s="187" t="s">
        <v>25</v>
      </c>
      <c r="D7" s="834" t="s">
        <v>261</v>
      </c>
      <c r="E7" s="169" t="s">
        <v>137</v>
      </c>
      <c r="F7" s="171" t="s">
        <v>79</v>
      </c>
      <c r="G7" s="172" t="s">
        <v>26</v>
      </c>
      <c r="H7" s="834" t="s">
        <v>225</v>
      </c>
      <c r="I7" s="367" t="s">
        <v>85</v>
      </c>
      <c r="J7" s="367" t="s">
        <v>25</v>
      </c>
      <c r="K7" s="367" t="s">
        <v>260</v>
      </c>
      <c r="L7" s="367" t="s">
        <v>88</v>
      </c>
      <c r="M7" s="368" t="s">
        <v>79</v>
      </c>
      <c r="N7" s="368" t="s">
        <v>89</v>
      </c>
      <c r="O7" s="367" t="s">
        <v>225</v>
      </c>
      <c r="P7" s="366"/>
      <c r="Q7" s="328"/>
      <c r="R7" s="328"/>
      <c r="S7" s="328"/>
      <c r="T7" s="328"/>
      <c r="U7" s="328"/>
      <c r="V7" s="328"/>
      <c r="W7" s="328"/>
      <c r="X7" s="328"/>
    </row>
    <row r="8" spans="1:24" ht="18" customHeight="1">
      <c r="A8" s="1612" t="s">
        <v>227</v>
      </c>
      <c r="B8" s="1613"/>
      <c r="C8" s="1615" t="s">
        <v>24</v>
      </c>
      <c r="D8" s="828" t="s">
        <v>24</v>
      </c>
      <c r="E8" s="830" t="s">
        <v>24</v>
      </c>
      <c r="F8" s="173" t="s">
        <v>228</v>
      </c>
      <c r="G8" s="802" t="s">
        <v>229</v>
      </c>
      <c r="H8" s="173" t="s">
        <v>246</v>
      </c>
      <c r="I8" s="438" t="s">
        <v>87</v>
      </c>
      <c r="J8" s="437" t="s">
        <v>24</v>
      </c>
      <c r="K8" s="1611" t="s">
        <v>24</v>
      </c>
      <c r="L8" s="1611" t="s">
        <v>24</v>
      </c>
      <c r="M8" s="369" t="s">
        <v>582</v>
      </c>
      <c r="N8" s="369" t="s">
        <v>583</v>
      </c>
      <c r="O8" s="369" t="s">
        <v>584</v>
      </c>
      <c r="P8" s="366"/>
      <c r="Q8" s="328"/>
      <c r="R8" s="328"/>
      <c r="S8" s="328"/>
      <c r="T8" s="328"/>
      <c r="U8" s="328"/>
      <c r="V8" s="328"/>
      <c r="W8" s="328"/>
      <c r="X8" s="328"/>
    </row>
    <row r="9" spans="1:24" ht="15" customHeight="1">
      <c r="A9" s="1612"/>
      <c r="B9" s="1613"/>
      <c r="C9" s="1616"/>
      <c r="D9" s="833"/>
      <c r="E9" s="831"/>
      <c r="F9" s="175" t="s">
        <v>56</v>
      </c>
      <c r="G9" s="829" t="s">
        <v>32</v>
      </c>
      <c r="H9" s="175" t="s">
        <v>75</v>
      </c>
      <c r="I9" s="438"/>
      <c r="J9" s="437"/>
      <c r="K9" s="1611"/>
      <c r="L9" s="1611"/>
      <c r="M9" s="370" t="s">
        <v>585</v>
      </c>
      <c r="N9" s="370" t="s">
        <v>31</v>
      </c>
      <c r="O9" s="370" t="s">
        <v>75</v>
      </c>
      <c r="P9" s="366"/>
      <c r="Q9" s="9"/>
      <c r="R9" s="9"/>
      <c r="S9" s="9"/>
      <c r="T9" s="9"/>
      <c r="U9" s="9"/>
      <c r="V9" s="9"/>
      <c r="W9" s="9"/>
      <c r="X9" s="9"/>
    </row>
    <row r="10" spans="1:24" ht="15" customHeight="1">
      <c r="C10" s="877" t="s">
        <v>863</v>
      </c>
      <c r="D10" s="67" t="s">
        <v>667</v>
      </c>
      <c r="E10" s="1260" t="s">
        <v>955</v>
      </c>
      <c r="F10" s="827">
        <f>'2.Stratigrafie'!R41</f>
        <v>0.31246355597199493</v>
      </c>
      <c r="G10" s="827">
        <f>'1.Dati'!E72+'1.Dati'!E74+'1.Dati'!E76+'1.Dati'!E77+'1.Dati'!E89+'1.Dati'!E99+'1.Dati'!E101+'1.Dati'!E103+'1.Dati'!E104+'1.Dati'!E116</f>
        <v>64.800000000000011</v>
      </c>
      <c r="H10" s="827">
        <f>F10*G10</f>
        <v>20.247638426985276</v>
      </c>
      <c r="I10" s="436"/>
      <c r="J10" s="435"/>
      <c r="K10" s="364" t="s">
        <v>103</v>
      </c>
      <c r="L10" s="365" t="s">
        <v>97</v>
      </c>
      <c r="M10" s="365">
        <v>0.75</v>
      </c>
      <c r="N10" s="365">
        <v>0.5</v>
      </c>
      <c r="O10" s="365">
        <f t="shared" ref="O10:O15" si="0">M10*N10</f>
        <v>0.375</v>
      </c>
      <c r="P10" s="366"/>
      <c r="Q10" s="9"/>
      <c r="R10" s="9"/>
      <c r="S10" s="9"/>
      <c r="T10" s="9"/>
      <c r="U10" s="9"/>
      <c r="V10" s="9"/>
      <c r="W10" s="9"/>
      <c r="X10" s="9"/>
    </row>
    <row r="11" spans="1:24" ht="15" customHeight="1">
      <c r="A11" s="878"/>
      <c r="C11" s="880" t="s">
        <v>861</v>
      </c>
      <c r="D11" s="491" t="s">
        <v>819</v>
      </c>
      <c r="E11" s="832" t="s">
        <v>668</v>
      </c>
      <c r="F11" s="827">
        <f>'2.Stratigrafie'!R57</f>
        <v>1.3986013986013988</v>
      </c>
      <c r="G11" s="827">
        <f>'1.Dati'!E73+'1.Dati'!E100</f>
        <v>4.4000000000000004</v>
      </c>
      <c r="H11" s="827">
        <f>F11*G11</f>
        <v>6.1538461538461551</v>
      </c>
      <c r="I11" s="436"/>
      <c r="J11" s="435"/>
      <c r="K11" s="413"/>
      <c r="L11" s="365"/>
      <c r="M11" s="365"/>
      <c r="N11" s="365"/>
      <c r="O11" s="365"/>
      <c r="P11" s="366"/>
      <c r="Q11" s="9"/>
      <c r="R11" s="9"/>
      <c r="S11" s="9"/>
      <c r="T11" s="9"/>
      <c r="U11" s="9"/>
      <c r="V11" s="9"/>
      <c r="W11" s="9"/>
      <c r="X11" s="9"/>
    </row>
    <row r="12" spans="1:24" ht="15" customHeight="1">
      <c r="C12" s="879" t="s">
        <v>23</v>
      </c>
      <c r="D12" s="67" t="s">
        <v>230</v>
      </c>
      <c r="E12" s="832" t="s">
        <v>638</v>
      </c>
      <c r="F12" s="827">
        <f>'2.Stratigrafie'!R96</f>
        <v>0.2327166892283167</v>
      </c>
      <c r="G12" s="827">
        <f>'1.Dati'!K9</f>
        <v>353.44000000000005</v>
      </c>
      <c r="H12" s="827">
        <f t="shared" ref="H12:H13" si="1">F12*G12</f>
        <v>82.251386640856268</v>
      </c>
      <c r="I12" s="436"/>
      <c r="J12" s="435"/>
      <c r="K12" s="365" t="s">
        <v>100</v>
      </c>
      <c r="L12" s="365" t="s">
        <v>93</v>
      </c>
      <c r="M12" s="365">
        <v>1.05</v>
      </c>
      <c r="N12" s="365">
        <v>2.87</v>
      </c>
      <c r="O12" s="365">
        <f t="shared" si="0"/>
        <v>3.0135000000000001</v>
      </c>
      <c r="P12" s="366"/>
      <c r="Q12" s="9"/>
      <c r="R12" s="9"/>
      <c r="S12" s="9"/>
      <c r="T12" s="9"/>
      <c r="U12" s="9"/>
      <c r="V12" s="127"/>
      <c r="W12" s="9"/>
      <c r="X12" s="9"/>
    </row>
    <row r="13" spans="1:24" ht="15" customHeight="1">
      <c r="C13" s="879" t="s">
        <v>862</v>
      </c>
      <c r="D13" s="67" t="s">
        <v>231</v>
      </c>
      <c r="E13" s="832" t="s">
        <v>639</v>
      </c>
      <c r="F13" s="320">
        <f>'2.Stratigrafie'!R77</f>
        <v>0.33849198322646729</v>
      </c>
      <c r="G13" s="827">
        <f>'1.Dati'!K9-'1.Dati'!K10-'1.Dati'!K11-'1.Dati'!K12</f>
        <v>314.76</v>
      </c>
      <c r="H13" s="827">
        <f t="shared" si="1"/>
        <v>106.54373664036284</v>
      </c>
      <c r="I13" s="436"/>
      <c r="J13" s="435"/>
      <c r="K13" s="365" t="s">
        <v>101</v>
      </c>
      <c r="L13" s="365" t="s">
        <v>92</v>
      </c>
      <c r="M13" s="365">
        <v>0.2</v>
      </c>
      <c r="N13" s="365">
        <v>2.87</v>
      </c>
      <c r="O13" s="365">
        <f t="shared" si="0"/>
        <v>0.57400000000000007</v>
      </c>
      <c r="P13" s="366"/>
      <c r="Q13" s="128"/>
      <c r="R13" s="9"/>
      <c r="S13" s="9"/>
      <c r="T13" s="9"/>
      <c r="U13" s="9"/>
      <c r="V13" s="9"/>
      <c r="W13" s="9"/>
      <c r="X13" s="9"/>
    </row>
    <row r="14" spans="1:24" ht="15" customHeight="1">
      <c r="F14"/>
      <c r="G14" s="51"/>
      <c r="H14" s="55">
        <f>SUM(H10:H13)</f>
        <v>215.19660786205054</v>
      </c>
      <c r="I14" s="436"/>
      <c r="J14" s="435"/>
      <c r="K14" s="365" t="s">
        <v>115</v>
      </c>
      <c r="L14" s="365" t="s">
        <v>94</v>
      </c>
      <c r="M14" s="365">
        <v>-0.15</v>
      </c>
      <c r="N14" s="365">
        <v>2.87</v>
      </c>
      <c r="O14" s="365">
        <f t="shared" si="0"/>
        <v>-0.43049999999999999</v>
      </c>
      <c r="P14" s="366"/>
      <c r="Q14" s="9"/>
      <c r="R14" s="9"/>
      <c r="S14" s="9"/>
      <c r="T14" s="9"/>
      <c r="U14" s="9"/>
      <c r="V14" s="9"/>
      <c r="W14" s="9"/>
      <c r="X14" s="9"/>
    </row>
    <row r="15" spans="1:24" ht="16">
      <c r="F15"/>
      <c r="G15" s="51"/>
      <c r="H15" s="191" t="s">
        <v>243</v>
      </c>
      <c r="I15" s="436" t="s">
        <v>34</v>
      </c>
      <c r="J15" s="435" t="s">
        <v>22</v>
      </c>
      <c r="K15" s="365" t="s">
        <v>116</v>
      </c>
      <c r="L15" s="365" t="s">
        <v>233</v>
      </c>
      <c r="M15" s="365">
        <v>0.2</v>
      </c>
      <c r="N15" s="365">
        <v>3</v>
      </c>
      <c r="O15" s="365">
        <f t="shared" si="0"/>
        <v>0.60000000000000009</v>
      </c>
      <c r="P15" s="366"/>
      <c r="Q15" s="9"/>
      <c r="R15" s="9"/>
      <c r="S15" s="9"/>
      <c r="T15" s="9"/>
      <c r="U15" s="9"/>
      <c r="V15" s="9"/>
      <c r="W15" s="9"/>
      <c r="X15" s="9"/>
    </row>
    <row r="16" spans="1:24">
      <c r="A16" s="9"/>
      <c r="B16" s="9"/>
      <c r="C16" s="9"/>
      <c r="D16" s="9"/>
      <c r="E16" s="9"/>
      <c r="F16" s="11"/>
      <c r="G16" s="9"/>
      <c r="H16" s="9"/>
      <c r="I16" s="9"/>
      <c r="J16" s="134"/>
      <c r="K16" s="41"/>
      <c r="L16" s="129"/>
      <c r="M16" s="17"/>
      <c r="N16" s="18"/>
      <c r="O16" s="41"/>
      <c r="P16" s="9"/>
      <c r="Q16" s="9"/>
      <c r="R16" s="9"/>
      <c r="S16" s="9"/>
      <c r="T16" s="9"/>
      <c r="U16" s="9"/>
      <c r="V16" s="9"/>
      <c r="W16" s="9"/>
      <c r="X16" s="9"/>
    </row>
    <row r="17" spans="1:24" ht="16">
      <c r="A17" s="1600" t="s">
        <v>295</v>
      </c>
      <c r="B17" s="1600"/>
      <c r="C17" s="1600"/>
      <c r="D17" s="1600"/>
      <c r="E17" s="1600"/>
      <c r="F17" s="1600"/>
      <c r="G17" s="1600"/>
      <c r="H17" s="1600"/>
      <c r="I17" s="1600"/>
      <c r="J17" s="1600"/>
      <c r="K17" s="1600"/>
      <c r="L17" s="1600"/>
      <c r="M17" s="1600"/>
      <c r="N17" s="1600"/>
      <c r="O17" s="1600"/>
      <c r="P17" s="9"/>
      <c r="Q17" s="9"/>
      <c r="R17" s="9"/>
      <c r="S17" s="9"/>
      <c r="T17" s="9"/>
      <c r="U17" s="9"/>
      <c r="V17" s="9"/>
      <c r="W17" s="9"/>
      <c r="X17" s="9"/>
    </row>
    <row r="18" spans="1:24">
      <c r="A18" s="5"/>
      <c r="B18" s="9"/>
      <c r="C18" s="5"/>
      <c r="D18" s="30"/>
      <c r="E18" s="53"/>
      <c r="F18" s="73"/>
      <c r="G18" s="52"/>
      <c r="H18" s="52"/>
      <c r="I18" s="9"/>
      <c r="P18" s="9"/>
      <c r="Q18" s="9"/>
      <c r="R18" s="9"/>
      <c r="S18" s="9"/>
      <c r="T18" s="9"/>
      <c r="U18" s="9"/>
      <c r="V18" s="9"/>
      <c r="W18" s="9"/>
      <c r="X18" s="9"/>
    </row>
    <row r="19" spans="1:24" ht="15" customHeight="1">
      <c r="A19" s="1601" t="s">
        <v>30</v>
      </c>
      <c r="B19" s="1598" t="s">
        <v>239</v>
      </c>
      <c r="C19" s="1598"/>
      <c r="D19" s="1602" t="s">
        <v>235</v>
      </c>
      <c r="E19" s="1603" t="s">
        <v>240</v>
      </c>
      <c r="F19" s="1603" t="s">
        <v>241</v>
      </c>
      <c r="G19" s="1603"/>
      <c r="H19" s="53"/>
      <c r="I19" s="10"/>
      <c r="J19" s="20"/>
      <c r="K19" s="20"/>
      <c r="L19" s="20"/>
      <c r="M19" s="20"/>
      <c r="P19" s="9"/>
      <c r="Q19" s="9"/>
      <c r="R19" s="9"/>
      <c r="S19" s="9"/>
      <c r="T19" s="9"/>
      <c r="U19" s="9"/>
      <c r="V19" s="9"/>
      <c r="W19" s="9"/>
      <c r="X19" s="9"/>
    </row>
    <row r="20" spans="1:24" ht="18" customHeight="1">
      <c r="A20" s="1601"/>
      <c r="B20" s="1598"/>
      <c r="C20" s="1598"/>
      <c r="D20" s="1602"/>
      <c r="E20" s="1604"/>
      <c r="F20" s="1603"/>
      <c r="G20" s="1603"/>
      <c r="H20" s="11"/>
      <c r="I20" s="10"/>
      <c r="J20" s="20"/>
      <c r="K20" s="20"/>
      <c r="L20" s="20"/>
      <c r="M20" s="20"/>
    </row>
    <row r="21" spans="1:24" ht="16">
      <c r="A21" s="190" t="s">
        <v>29</v>
      </c>
      <c r="B21" s="1576" t="s">
        <v>238</v>
      </c>
      <c r="C21" s="1577"/>
      <c r="D21" s="1578" t="s">
        <v>24</v>
      </c>
      <c r="E21" s="179" t="s">
        <v>237</v>
      </c>
      <c r="F21" s="1576" t="s">
        <v>244</v>
      </c>
      <c r="G21" s="1577"/>
      <c r="H21" s="11"/>
      <c r="I21" s="10"/>
      <c r="J21" s="20"/>
      <c r="K21" s="20"/>
      <c r="L21" s="20"/>
      <c r="M21" s="20"/>
    </row>
    <row r="22" spans="1:24">
      <c r="A22" s="175" t="s">
        <v>33</v>
      </c>
      <c r="B22" s="1580" t="s">
        <v>234</v>
      </c>
      <c r="C22" s="1581"/>
      <c r="D22" s="1579"/>
      <c r="E22" s="175" t="s">
        <v>236</v>
      </c>
      <c r="F22" s="1580" t="s">
        <v>75</v>
      </c>
      <c r="G22" s="1581"/>
      <c r="H22" s="11"/>
      <c r="I22" s="10"/>
      <c r="J22" s="20"/>
      <c r="K22" s="20"/>
      <c r="L22" s="20"/>
      <c r="M22" s="20"/>
    </row>
    <row r="23" spans="1:24">
      <c r="A23" s="93">
        <f>'1.Dati'!N19</f>
        <v>4931.2519199999988</v>
      </c>
      <c r="B23" s="1545">
        <v>1200</v>
      </c>
      <c r="C23" s="1545"/>
      <c r="D23" s="95">
        <v>1</v>
      </c>
      <c r="E23" s="93">
        <v>0.3</v>
      </c>
      <c r="F23" s="210">
        <f>(A23*B23*D23*E23)/3600</f>
        <v>493.12519199999986</v>
      </c>
      <c r="G23" s="138"/>
      <c r="H23" s="509"/>
      <c r="I23" s="10"/>
      <c r="J23" s="20"/>
      <c r="K23" s="20"/>
      <c r="L23" s="20"/>
      <c r="M23" s="20"/>
    </row>
    <row r="24" spans="1:24">
      <c r="A24" s="10"/>
      <c r="B24" s="10"/>
      <c r="C24" s="10"/>
      <c r="D24" s="10"/>
      <c r="E24" s="11"/>
      <c r="F24" s="11"/>
      <c r="G24" s="532"/>
      <c r="H24" s="11"/>
      <c r="I24" s="10"/>
      <c r="J24" s="20"/>
      <c r="K24" s="20"/>
      <c r="L24" s="20"/>
      <c r="M24" s="20"/>
    </row>
    <row r="25" spans="1:24" ht="16">
      <c r="A25" s="1582" t="s">
        <v>242</v>
      </c>
      <c r="B25" s="1582"/>
      <c r="C25" s="1582"/>
      <c r="D25" s="191" t="s">
        <v>243</v>
      </c>
      <c r="E25" s="27" t="s">
        <v>75</v>
      </c>
      <c r="F25" s="1588">
        <f>H14</f>
        <v>215.19660786205054</v>
      </c>
      <c r="G25" s="1588"/>
    </row>
    <row r="26" spans="1:24" ht="16">
      <c r="A26" s="1582"/>
      <c r="B26" s="1582"/>
      <c r="C26" s="1582"/>
      <c r="D26" s="191" t="s">
        <v>244</v>
      </c>
      <c r="E26" s="27" t="s">
        <v>75</v>
      </c>
      <c r="F26" s="1588">
        <f>F23</f>
        <v>493.12519199999986</v>
      </c>
      <c r="G26" s="1588"/>
    </row>
    <row r="27" spans="1:24" ht="16">
      <c r="A27" s="1614"/>
      <c r="B27" s="1614"/>
      <c r="C27" s="1614"/>
      <c r="D27" s="439" t="s">
        <v>245</v>
      </c>
      <c r="E27" s="448" t="s">
        <v>75</v>
      </c>
      <c r="F27" s="1492">
        <f>F25+F26</f>
        <v>708.3217998620504</v>
      </c>
      <c r="G27" s="1492"/>
    </row>
    <row r="28" spans="1:24">
      <c r="A28" s="446"/>
      <c r="B28" s="446"/>
      <c r="C28" s="446"/>
      <c r="D28" s="482"/>
      <c r="E28" s="483"/>
      <c r="F28" s="484"/>
      <c r="G28" s="484"/>
    </row>
    <row r="29" spans="1:24">
      <c r="A29" s="440"/>
      <c r="B29" s="440"/>
      <c r="C29" s="440"/>
      <c r="D29" s="441"/>
      <c r="E29" s="34"/>
      <c r="F29" s="145"/>
      <c r="G29" s="145"/>
    </row>
    <row r="30" spans="1:24">
      <c r="A30" s="447"/>
      <c r="B30" s="447"/>
      <c r="C30" s="447"/>
      <c r="D30" s="485"/>
      <c r="E30" s="486"/>
      <c r="F30" s="231"/>
      <c r="G30" s="231"/>
    </row>
    <row r="31" spans="1:24">
      <c r="A31" s="481" t="s">
        <v>0</v>
      </c>
      <c r="B31" s="1414" t="s">
        <v>566</v>
      </c>
      <c r="C31" s="1415"/>
      <c r="D31" s="1415"/>
      <c r="E31" s="1416"/>
      <c r="F31" s="1509"/>
      <c r="G31" s="1414" t="s">
        <v>567</v>
      </c>
      <c r="H31" s="1403"/>
      <c r="I31" s="1403"/>
      <c r="J31" s="1403"/>
      <c r="K31" s="1404"/>
      <c r="L31" s="1352" t="s">
        <v>5</v>
      </c>
      <c r="M31" s="1353"/>
      <c r="N31" s="1352" t="s">
        <v>6</v>
      </c>
      <c r="O31" s="1353"/>
    </row>
    <row r="32" spans="1:24" ht="23.5" customHeight="1">
      <c r="A32" s="47">
        <v>4</v>
      </c>
      <c r="B32" s="1605" t="s">
        <v>232</v>
      </c>
      <c r="C32" s="1606"/>
      <c r="D32" s="1606"/>
      <c r="E32" s="1607"/>
      <c r="F32" s="1509"/>
      <c r="G32" s="1414" t="s">
        <v>568</v>
      </c>
      <c r="H32" s="1415"/>
      <c r="I32" s="1415"/>
      <c r="J32" s="1415"/>
      <c r="K32" s="1416"/>
      <c r="L32" s="1391" t="str">
        <f>'1.Dati'!L2:M2</f>
        <v>Prof. R. RICCIU</v>
      </c>
      <c r="M32" s="1392"/>
      <c r="N32" s="1391" t="str">
        <f>N2</f>
        <v>X</v>
      </c>
      <c r="O32" s="1392"/>
    </row>
    <row r="33" spans="1:24">
      <c r="A33" s="48" t="s">
        <v>63</v>
      </c>
      <c r="B33" s="1608"/>
      <c r="C33" s="1609"/>
      <c r="D33" s="1609"/>
      <c r="E33" s="1610"/>
      <c r="F33" s="1510"/>
      <c r="G33" s="1354" t="str">
        <f>'1.Dati'!G3:K3</f>
        <v>LAB. INTEGR. DI PROG. TECN. (TERMOFISICA DELL'EDIFICIO) a.a. 2019/2020</v>
      </c>
      <c r="H33" s="1355"/>
      <c r="I33" s="1355"/>
      <c r="J33" s="1355"/>
      <c r="K33" s="1356"/>
      <c r="L33" s="1357" t="s">
        <v>1028</v>
      </c>
      <c r="M33" s="1358"/>
      <c r="N33" s="1357" t="str">
        <f>N3</f>
        <v>Y</v>
      </c>
      <c r="O33" s="1358"/>
    </row>
    <row r="34" spans="1:24">
      <c r="A34" s="20"/>
      <c r="B34" s="20"/>
      <c r="C34" s="20"/>
      <c r="D34" s="20"/>
      <c r="E34" s="20"/>
      <c r="G34" s="20"/>
      <c r="H34" s="20"/>
      <c r="I34" s="20"/>
      <c r="J34" s="20"/>
      <c r="K34" s="20"/>
      <c r="L34" s="20"/>
      <c r="M34" s="20"/>
    </row>
    <row r="35" spans="1:24" ht="16">
      <c r="A35" s="1600" t="s">
        <v>296</v>
      </c>
      <c r="B35" s="1600"/>
      <c r="C35" s="1600"/>
      <c r="D35" s="1600"/>
      <c r="E35" s="1600"/>
      <c r="F35" s="1600"/>
      <c r="G35" s="1600"/>
      <c r="H35" s="1600"/>
      <c r="I35" s="1600"/>
      <c r="J35" s="1600"/>
      <c r="K35" s="1600"/>
      <c r="L35" s="1600"/>
      <c r="M35" s="1600"/>
      <c r="N35" s="1600"/>
      <c r="O35" s="1600"/>
    </row>
    <row r="36" spans="1:24">
      <c r="A36" s="20"/>
      <c r="B36" s="20"/>
      <c r="C36" s="20"/>
      <c r="D36" s="20"/>
      <c r="E36" s="20"/>
      <c r="G36" s="20"/>
      <c r="H36" s="20"/>
      <c r="I36" s="20"/>
      <c r="J36" s="20"/>
      <c r="K36" s="20"/>
      <c r="L36" s="20"/>
      <c r="M36" s="20"/>
    </row>
    <row r="37" spans="1:24">
      <c r="A37" s="140" t="s">
        <v>85</v>
      </c>
      <c r="B37" s="187" t="s">
        <v>25</v>
      </c>
      <c r="C37" s="170" t="s">
        <v>261</v>
      </c>
      <c r="D37" s="169" t="s">
        <v>137</v>
      </c>
      <c r="E37" s="171" t="s">
        <v>79</v>
      </c>
      <c r="F37" s="172" t="s">
        <v>26</v>
      </c>
      <c r="G37" s="170" t="s">
        <v>225</v>
      </c>
      <c r="H37" s="20"/>
      <c r="I37" s="367" t="s">
        <v>85</v>
      </c>
      <c r="J37" s="367" t="s">
        <v>25</v>
      </c>
      <c r="K37" s="367" t="s">
        <v>260</v>
      </c>
      <c r="L37" s="367" t="s">
        <v>88</v>
      </c>
      <c r="M37" s="368" t="s">
        <v>79</v>
      </c>
      <c r="N37" s="368" t="s">
        <v>89</v>
      </c>
      <c r="O37" s="367" t="s">
        <v>225</v>
      </c>
    </row>
    <row r="38" spans="1:24" ht="17" customHeight="1">
      <c r="A38" s="1553" t="s">
        <v>227</v>
      </c>
      <c r="B38" s="1531" t="s">
        <v>24</v>
      </c>
      <c r="C38" s="1498" t="s">
        <v>24</v>
      </c>
      <c r="D38" s="1504" t="s">
        <v>24</v>
      </c>
      <c r="E38" s="173" t="s">
        <v>228</v>
      </c>
      <c r="F38" s="188" t="s">
        <v>229</v>
      </c>
      <c r="G38" s="173" t="s">
        <v>246</v>
      </c>
      <c r="H38" s="20"/>
      <c r="I38" s="438" t="s">
        <v>87</v>
      </c>
      <c r="J38" s="437" t="s">
        <v>24</v>
      </c>
      <c r="K38" s="1611" t="s">
        <v>24</v>
      </c>
      <c r="L38" s="1611" t="s">
        <v>24</v>
      </c>
      <c r="M38" s="369" t="s">
        <v>582</v>
      </c>
      <c r="N38" s="369" t="s">
        <v>583</v>
      </c>
      <c r="O38" s="369" t="s">
        <v>584</v>
      </c>
    </row>
    <row r="39" spans="1:24" ht="15" customHeight="1">
      <c r="A39" s="1553"/>
      <c r="B39" s="1532"/>
      <c r="C39" s="1499"/>
      <c r="D39" s="1505"/>
      <c r="E39" s="175" t="s">
        <v>56</v>
      </c>
      <c r="F39" s="189" t="s">
        <v>32</v>
      </c>
      <c r="G39" s="175" t="s">
        <v>75</v>
      </c>
      <c r="H39" s="20"/>
      <c r="I39" s="438"/>
      <c r="J39" s="437"/>
      <c r="K39" s="1611"/>
      <c r="L39" s="1611"/>
      <c r="M39" s="370" t="s">
        <v>585</v>
      </c>
      <c r="N39" s="370" t="s">
        <v>31</v>
      </c>
      <c r="O39" s="370" t="s">
        <v>75</v>
      </c>
    </row>
    <row r="40" spans="1:24" ht="15" customHeight="1">
      <c r="A40" s="1572" t="s">
        <v>16</v>
      </c>
      <c r="B40" s="1495" t="s">
        <v>16</v>
      </c>
      <c r="C40" s="67" t="s">
        <v>818</v>
      </c>
      <c r="D40" s="492" t="s">
        <v>856</v>
      </c>
      <c r="E40" s="414">
        <f>'2.Stratigrafie'!R41</f>
        <v>0.31246355597199493</v>
      </c>
      <c r="F40" s="414">
        <f>(4.13*2.7)*5</f>
        <v>55.754999999999995</v>
      </c>
      <c r="G40" s="414">
        <f>E40*F40</f>
        <v>17.421405563218578</v>
      </c>
      <c r="H40" s="20"/>
      <c r="I40" s="436" t="s">
        <v>35</v>
      </c>
      <c r="J40" s="435" t="s">
        <v>21</v>
      </c>
      <c r="K40" s="365" t="s">
        <v>95</v>
      </c>
      <c r="L40" s="365" t="s">
        <v>92</v>
      </c>
      <c r="M40" s="371">
        <v>0.1</v>
      </c>
      <c r="N40" s="365">
        <v>2.1</v>
      </c>
      <c r="O40" s="365">
        <f t="shared" ref="O40:O47" si="2">M40*N40</f>
        <v>0.21000000000000002</v>
      </c>
    </row>
    <row r="41" spans="1:24">
      <c r="A41" s="1573"/>
      <c r="B41" s="1496"/>
      <c r="C41" s="67" t="s">
        <v>821</v>
      </c>
      <c r="D41" s="492" t="str">
        <f>$D$40</f>
        <v>STRATIGRAFIA 01_A</v>
      </c>
      <c r="E41" s="1254">
        <f>'2.Stratigrafie'!R41</f>
        <v>0.31246355597199493</v>
      </c>
      <c r="F41" s="414">
        <f>(0.6*2.7)*5</f>
        <v>8.1000000000000014</v>
      </c>
      <c r="G41" s="414">
        <f t="shared" ref="G41" si="3">E41*F41</f>
        <v>2.5309548033731595</v>
      </c>
      <c r="H41" s="560"/>
      <c r="I41" s="436"/>
      <c r="J41" s="435"/>
      <c r="K41" s="364" t="s">
        <v>99</v>
      </c>
      <c r="L41" s="365" t="s">
        <v>96</v>
      </c>
      <c r="M41" s="365">
        <v>0.05</v>
      </c>
      <c r="N41" s="365">
        <v>2.1</v>
      </c>
      <c r="O41" s="365">
        <f t="shared" si="2"/>
        <v>0.10500000000000001</v>
      </c>
      <c r="Q41" s="9"/>
      <c r="R41" s="9"/>
      <c r="S41" s="9"/>
      <c r="T41" s="9"/>
      <c r="U41" s="9"/>
      <c r="V41" s="9"/>
      <c r="W41" s="9"/>
      <c r="X41" s="9"/>
    </row>
    <row r="42" spans="1:24">
      <c r="A42" s="1573"/>
      <c r="B42" s="1496"/>
      <c r="C42" s="67" t="s">
        <v>827</v>
      </c>
      <c r="D42" s="492" t="str">
        <f t="shared" ref="D42:D48" si="4">$D$40</f>
        <v>STRATIGRAFIA 01_A</v>
      </c>
      <c r="E42" s="1254">
        <f>'2.Stratigrafie'!R41</f>
        <v>0.31246355597199493</v>
      </c>
      <c r="F42" s="414">
        <f>(1.5*2.7)*5</f>
        <v>20.250000000000004</v>
      </c>
      <c r="G42" s="414">
        <f>E42*F42</f>
        <v>6.3273870084328987</v>
      </c>
      <c r="I42" s="436"/>
      <c r="J42" s="435"/>
      <c r="K42" s="365" t="s">
        <v>247</v>
      </c>
      <c r="L42" s="365" t="s">
        <v>92</v>
      </c>
      <c r="M42" s="365">
        <v>0.1</v>
      </c>
      <c r="N42" s="365">
        <v>2.1</v>
      </c>
      <c r="O42" s="365">
        <f t="shared" si="2"/>
        <v>0.21000000000000002</v>
      </c>
      <c r="Q42" s="148"/>
      <c r="R42" s="149"/>
      <c r="S42" s="145"/>
      <c r="T42" s="145"/>
      <c r="U42" s="138"/>
      <c r="V42" s="9"/>
      <c r="W42" s="9"/>
      <c r="X42" s="9"/>
    </row>
    <row r="43" spans="1:24" ht="15" customHeight="1">
      <c r="A43" s="1573"/>
      <c r="B43" s="1496"/>
      <c r="C43" s="67" t="s">
        <v>823</v>
      </c>
      <c r="D43" s="492" t="str">
        <f t="shared" si="4"/>
        <v>STRATIGRAFIA 01_A</v>
      </c>
      <c r="E43" s="1254">
        <f>'2.Stratigrafie'!R41</f>
        <v>0.31246355597199493</v>
      </c>
      <c r="F43" s="414">
        <f>(1.67*2.7)*5</f>
        <v>22.545000000000002</v>
      </c>
      <c r="G43" s="414">
        <f t="shared" ref="G43:G45" si="5">E43*F43</f>
        <v>7.0444908693886266</v>
      </c>
      <c r="I43" s="436"/>
      <c r="J43" s="435"/>
      <c r="K43" s="364" t="s">
        <v>248</v>
      </c>
      <c r="L43" s="365" t="s">
        <v>98</v>
      </c>
      <c r="M43" s="365">
        <v>0.9</v>
      </c>
      <c r="N43" s="365">
        <v>4.3499999999999996</v>
      </c>
      <c r="O43" s="365">
        <f t="shared" si="2"/>
        <v>3.9149999999999996</v>
      </c>
      <c r="Q43" s="145"/>
      <c r="R43" s="145"/>
      <c r="S43" s="145"/>
      <c r="T43" s="145"/>
      <c r="U43" s="138"/>
      <c r="V43" s="9"/>
      <c r="W43" s="9"/>
      <c r="X43" s="9"/>
    </row>
    <row r="44" spans="1:24" ht="15" customHeight="1">
      <c r="A44" s="1573"/>
      <c r="B44" s="1496"/>
      <c r="C44" s="67" t="s">
        <v>828</v>
      </c>
      <c r="D44" s="492" t="str">
        <f t="shared" si="4"/>
        <v>STRATIGRAFIA 01_A</v>
      </c>
      <c r="E44" s="1254">
        <f>'2.Stratigrafie'!R41</f>
        <v>0.31246355597199493</v>
      </c>
      <c r="F44" s="414">
        <f>(4.1*2.7)*5</f>
        <v>55.35</v>
      </c>
      <c r="G44" s="414">
        <f t="shared" si="5"/>
        <v>17.29485782304992</v>
      </c>
      <c r="I44" s="436"/>
      <c r="J44" s="435"/>
      <c r="K44" s="364" t="s">
        <v>249</v>
      </c>
      <c r="L44" s="365" t="s">
        <v>98</v>
      </c>
      <c r="M44" s="365">
        <v>0.9</v>
      </c>
      <c r="N44" s="365">
        <v>3.85</v>
      </c>
      <c r="O44" s="365">
        <f t="shared" si="2"/>
        <v>3.4650000000000003</v>
      </c>
      <c r="Q44" s="9"/>
      <c r="R44" s="9"/>
      <c r="S44" s="9"/>
      <c r="T44" s="9"/>
      <c r="U44" s="9"/>
      <c r="V44" s="9"/>
      <c r="W44" s="9"/>
      <c r="X44" s="9"/>
    </row>
    <row r="45" spans="1:24">
      <c r="A45" s="1573"/>
      <c r="B45" s="1496"/>
      <c r="C45" s="67" t="s">
        <v>850</v>
      </c>
      <c r="D45" s="492" t="str">
        <f t="shared" si="4"/>
        <v>STRATIGRAFIA 01_A</v>
      </c>
      <c r="E45" s="1254">
        <f>'2.Stratigrafie'!R41</f>
        <v>0.31246355597199493</v>
      </c>
      <c r="F45" s="414">
        <f>F40</f>
        <v>55.754999999999995</v>
      </c>
      <c r="G45" s="414">
        <f t="shared" si="5"/>
        <v>17.421405563218578</v>
      </c>
      <c r="I45" s="436"/>
      <c r="J45" s="435"/>
      <c r="K45" s="364" t="s">
        <v>251</v>
      </c>
      <c r="L45" s="365" t="s">
        <v>98</v>
      </c>
      <c r="M45" s="365">
        <v>0.9</v>
      </c>
      <c r="N45" s="365">
        <v>2.2999999999999998</v>
      </c>
      <c r="O45" s="365">
        <f t="shared" si="2"/>
        <v>2.0699999999999998</v>
      </c>
    </row>
    <row r="46" spans="1:24">
      <c r="A46" s="1573"/>
      <c r="B46" s="1496"/>
      <c r="C46" s="67" t="s">
        <v>851</v>
      </c>
      <c r="D46" s="492" t="str">
        <f t="shared" si="4"/>
        <v>STRATIGRAFIA 01_A</v>
      </c>
      <c r="E46" s="1254">
        <f>'2.Stratigrafie'!R41</f>
        <v>0.31246355597199493</v>
      </c>
      <c r="F46" s="827">
        <f t="shared" ref="F46:F49" si="6">F41</f>
        <v>8.1000000000000014</v>
      </c>
      <c r="G46" s="414">
        <f t="shared" ref="G46:G49" si="7">E46*F46</f>
        <v>2.5309548033731595</v>
      </c>
      <c r="I46" s="436"/>
      <c r="J46" s="435"/>
      <c r="K46" s="364" t="s">
        <v>250</v>
      </c>
      <c r="L46" s="365" t="s">
        <v>97</v>
      </c>
      <c r="M46" s="365">
        <v>0.75</v>
      </c>
      <c r="N46" s="365">
        <v>3.85</v>
      </c>
      <c r="O46" s="365">
        <f t="shared" si="2"/>
        <v>2.8875000000000002</v>
      </c>
    </row>
    <row r="47" spans="1:24">
      <c r="A47" s="1573"/>
      <c r="B47" s="1496"/>
      <c r="C47" s="67" t="s">
        <v>852</v>
      </c>
      <c r="D47" s="492" t="str">
        <f>$D$40</f>
        <v>STRATIGRAFIA 01_A</v>
      </c>
      <c r="E47" s="1254">
        <f>'2.Stratigrafie'!R41</f>
        <v>0.31246355597199493</v>
      </c>
      <c r="F47" s="827">
        <f t="shared" si="6"/>
        <v>20.250000000000004</v>
      </c>
      <c r="G47" s="414">
        <f t="shared" si="7"/>
        <v>6.3273870084328987</v>
      </c>
      <c r="I47" s="436"/>
      <c r="J47" s="435"/>
      <c r="K47" s="364" t="s">
        <v>252</v>
      </c>
      <c r="L47" s="365" t="s">
        <v>97</v>
      </c>
      <c r="M47" s="365">
        <v>0.75</v>
      </c>
      <c r="N47" s="365">
        <v>2.2999999999999998</v>
      </c>
      <c r="O47" s="365">
        <f t="shared" si="2"/>
        <v>1.7249999999999999</v>
      </c>
    </row>
    <row r="48" spans="1:24">
      <c r="A48" s="1573"/>
      <c r="B48" s="1496"/>
      <c r="C48" s="67" t="s">
        <v>851</v>
      </c>
      <c r="D48" s="492" t="str">
        <f t="shared" si="4"/>
        <v>STRATIGRAFIA 01_A</v>
      </c>
      <c r="E48" s="1254">
        <f>'2.Stratigrafie'!R41</f>
        <v>0.31246355597199493</v>
      </c>
      <c r="F48" s="827">
        <f>F43</f>
        <v>22.545000000000002</v>
      </c>
      <c r="G48" s="827">
        <f t="shared" si="7"/>
        <v>7.0444908693886266</v>
      </c>
      <c r="I48" s="436"/>
      <c r="J48" s="435"/>
      <c r="K48" s="413"/>
      <c r="L48" s="365"/>
      <c r="M48" s="365"/>
      <c r="N48" s="365"/>
      <c r="O48" s="365"/>
    </row>
    <row r="49" spans="1:15">
      <c r="A49" s="1574"/>
      <c r="B49" s="1497"/>
      <c r="C49" s="67" t="s">
        <v>823</v>
      </c>
      <c r="D49" s="492" t="str">
        <f>$D$40</f>
        <v>STRATIGRAFIA 01_A</v>
      </c>
      <c r="E49" s="1254">
        <f>'2.Stratigrafie'!R41</f>
        <v>0.31246355597199493</v>
      </c>
      <c r="F49" s="827">
        <f t="shared" si="6"/>
        <v>55.35</v>
      </c>
      <c r="G49" s="827">
        <f t="shared" si="7"/>
        <v>17.29485782304992</v>
      </c>
      <c r="I49" s="436"/>
      <c r="J49" s="435"/>
      <c r="K49" s="413"/>
      <c r="L49" s="365"/>
      <c r="M49" s="365"/>
      <c r="N49" s="365"/>
      <c r="O49" s="365"/>
    </row>
    <row r="50" spans="1:15" ht="15" customHeight="1">
      <c r="A50" s="1595" t="s">
        <v>23</v>
      </c>
      <c r="B50" s="1495" t="s">
        <v>23</v>
      </c>
      <c r="C50" s="67" t="s">
        <v>864</v>
      </c>
      <c r="D50" s="449" t="s">
        <v>637</v>
      </c>
      <c r="E50" s="1254">
        <f>'2.Stratigrafie'!R96</f>
        <v>0.2327166892283167</v>
      </c>
      <c r="F50" s="414">
        <v>135</v>
      </c>
      <c r="G50" s="414">
        <f>E50*F50</f>
        <v>31.416753045822755</v>
      </c>
      <c r="I50" s="436"/>
      <c r="J50" s="435"/>
      <c r="K50" s="364" t="s">
        <v>258</v>
      </c>
      <c r="L50" s="364" t="s">
        <v>24</v>
      </c>
      <c r="M50" s="365">
        <f>('3.Hd'!F344*4)</f>
        <v>0.92515068493150698</v>
      </c>
      <c r="N50" s="364">
        <v>0.25</v>
      </c>
      <c r="O50" s="365">
        <f>2*M50*N50</f>
        <v>0.46257534246575349</v>
      </c>
    </row>
    <row r="51" spans="1:15" ht="15" customHeight="1">
      <c r="A51" s="1596"/>
      <c r="B51" s="1496"/>
      <c r="C51" s="67" t="s">
        <v>865</v>
      </c>
      <c r="D51" s="449" t="str">
        <f>$D$50</f>
        <v>Stratig. 07</v>
      </c>
      <c r="E51" s="567">
        <f>'2.Stratigrafie'!$R$96</f>
        <v>0.2327166892283167</v>
      </c>
      <c r="F51" s="827">
        <v>135</v>
      </c>
      <c r="G51" s="414">
        <f t="shared" ref="G51:G52" si="8">E51*F51</f>
        <v>31.416753045822755</v>
      </c>
      <c r="I51" s="413"/>
      <c r="J51" s="412"/>
      <c r="K51" s="413"/>
      <c r="L51" s="413"/>
      <c r="M51" s="365"/>
      <c r="N51" s="413"/>
      <c r="O51" s="365"/>
    </row>
    <row r="52" spans="1:15" ht="15" customHeight="1">
      <c r="A52" s="1596"/>
      <c r="B52" s="1496"/>
      <c r="C52" s="67" t="s">
        <v>866</v>
      </c>
      <c r="D52" s="449" t="str">
        <f t="shared" ref="D52" si="9">$D$50</f>
        <v>Stratig. 07</v>
      </c>
      <c r="E52" s="567">
        <f>'2.Stratigrafie'!$R$96</f>
        <v>0.2327166892283167</v>
      </c>
      <c r="F52" s="414">
        <v>38.5</v>
      </c>
      <c r="G52" s="414">
        <f t="shared" si="8"/>
        <v>8.9595925352901933</v>
      </c>
      <c r="I52" s="413"/>
      <c r="J52" s="412"/>
      <c r="K52" s="413"/>
      <c r="L52" s="413"/>
      <c r="M52" s="365"/>
      <c r="N52" s="413"/>
      <c r="O52" s="365"/>
    </row>
    <row r="53" spans="1:15" ht="15" customHeight="1">
      <c r="A53" s="1597"/>
      <c r="B53" s="1497"/>
      <c r="C53" s="67"/>
      <c r="D53" s="449"/>
      <c r="E53" s="567"/>
      <c r="F53" s="414"/>
      <c r="G53" s="414"/>
      <c r="I53" s="413"/>
      <c r="J53" s="412"/>
      <c r="K53" s="413"/>
      <c r="L53" s="413"/>
      <c r="M53" s="365"/>
      <c r="N53" s="413"/>
      <c r="O53" s="365"/>
    </row>
    <row r="54" spans="1:15" ht="15" customHeight="1">
      <c r="A54" s="1595" t="s">
        <v>862</v>
      </c>
      <c r="B54" s="1495" t="s">
        <v>862</v>
      </c>
      <c r="C54" s="67" t="s">
        <v>864</v>
      </c>
      <c r="D54" s="832" t="s">
        <v>637</v>
      </c>
      <c r="E54" s="827">
        <f>'2.Stratigrafie'!$R$96</f>
        <v>0.2327166892283167</v>
      </c>
      <c r="F54" s="827">
        <v>135</v>
      </c>
      <c r="G54" s="827">
        <f>E54*F54</f>
        <v>31.416753045822755</v>
      </c>
      <c r="I54" s="436" t="s">
        <v>23</v>
      </c>
      <c r="J54" s="435" t="s">
        <v>23</v>
      </c>
      <c r="K54" s="364" t="s">
        <v>117</v>
      </c>
      <c r="L54" s="364" t="s">
        <v>98</v>
      </c>
      <c r="M54" s="365">
        <v>0.9</v>
      </c>
      <c r="N54" s="365">
        <v>3.9</v>
      </c>
      <c r="O54" s="365">
        <f t="shared" ref="O54:O59" si="10">N54*M54</f>
        <v>3.51</v>
      </c>
    </row>
    <row r="55" spans="1:15">
      <c r="A55" s="1596"/>
      <c r="B55" s="1496"/>
      <c r="C55" s="67" t="s">
        <v>865</v>
      </c>
      <c r="D55" s="832" t="str">
        <f>$D$50</f>
        <v>Stratig. 07</v>
      </c>
      <c r="E55" s="827">
        <f>'2.Stratigrafie'!$R$96</f>
        <v>0.2327166892283167</v>
      </c>
      <c r="F55" s="827">
        <v>135</v>
      </c>
      <c r="G55" s="827">
        <f t="shared" ref="G55:G56" si="11">E55*F55</f>
        <v>31.416753045822755</v>
      </c>
      <c r="I55" s="436"/>
      <c r="J55" s="435"/>
      <c r="K55" s="364" t="s">
        <v>118</v>
      </c>
      <c r="L55" s="364" t="s">
        <v>98</v>
      </c>
      <c r="M55" s="365">
        <v>0.9</v>
      </c>
      <c r="N55" s="365">
        <v>3.98</v>
      </c>
      <c r="O55" s="365">
        <f t="shared" si="10"/>
        <v>3.5819999999999999</v>
      </c>
    </row>
    <row r="56" spans="1:15">
      <c r="A56" s="1596"/>
      <c r="B56" s="1496"/>
      <c r="C56" s="67" t="s">
        <v>866</v>
      </c>
      <c r="D56" s="832" t="str">
        <f t="shared" ref="D56" si="12">$D$50</f>
        <v>Stratig. 07</v>
      </c>
      <c r="E56" s="827">
        <f>'2.Stratigrafie'!$R$96</f>
        <v>0.2327166892283167</v>
      </c>
      <c r="F56" s="827">
        <v>38.5</v>
      </c>
      <c r="G56" s="827">
        <f t="shared" si="11"/>
        <v>8.9595925352901933</v>
      </c>
      <c r="I56" s="436"/>
      <c r="J56" s="435"/>
      <c r="K56" s="364" t="s">
        <v>119</v>
      </c>
      <c r="L56" s="364" t="s">
        <v>98</v>
      </c>
      <c r="M56" s="365">
        <v>0.9</v>
      </c>
      <c r="N56" s="365">
        <v>2.5</v>
      </c>
      <c r="O56" s="365">
        <f t="shared" si="10"/>
        <v>2.25</v>
      </c>
    </row>
    <row r="57" spans="1:15">
      <c r="A57" s="1597"/>
      <c r="B57" s="1497"/>
      <c r="C57" s="67"/>
      <c r="D57" s="449"/>
      <c r="E57" s="320"/>
      <c r="F57" s="414"/>
      <c r="G57" s="414"/>
      <c r="I57" s="436"/>
      <c r="J57" s="435"/>
      <c r="K57" s="364" t="s">
        <v>120</v>
      </c>
      <c r="L57" s="364" t="s">
        <v>98</v>
      </c>
      <c r="M57" s="365">
        <v>0.9</v>
      </c>
      <c r="N57" s="365">
        <f>2.4755+0.8</f>
        <v>3.2755000000000001</v>
      </c>
      <c r="O57" s="365">
        <f t="shared" si="10"/>
        <v>2.9479500000000001</v>
      </c>
    </row>
    <row r="58" spans="1:15" ht="16">
      <c r="G58" s="55">
        <f>SUM(G40:G57)</f>
        <v>244.82438938879778</v>
      </c>
      <c r="H58" s="191" t="s">
        <v>253</v>
      </c>
      <c r="I58" s="436"/>
      <c r="J58" s="435"/>
      <c r="K58" s="364" t="s">
        <v>121</v>
      </c>
      <c r="L58" s="364" t="s">
        <v>98</v>
      </c>
      <c r="M58" s="365">
        <v>0.9</v>
      </c>
      <c r="N58" s="365">
        <v>3.38</v>
      </c>
      <c r="O58" s="365">
        <f t="shared" si="10"/>
        <v>3.0419999999999998</v>
      </c>
    </row>
    <row r="59" spans="1:15">
      <c r="G59" s="50"/>
      <c r="I59" s="436"/>
      <c r="J59" s="435"/>
      <c r="K59" s="364" t="s">
        <v>122</v>
      </c>
      <c r="L59" s="364" t="s">
        <v>98</v>
      </c>
      <c r="M59" s="365">
        <v>0.9</v>
      </c>
      <c r="N59" s="365">
        <v>4.3</v>
      </c>
      <c r="O59" s="365">
        <f t="shared" si="10"/>
        <v>3.87</v>
      </c>
    </row>
    <row r="60" spans="1:15">
      <c r="I60" s="436"/>
      <c r="J60" s="435"/>
      <c r="K60" s="413" t="s">
        <v>123</v>
      </c>
      <c r="L60" s="413" t="s">
        <v>98</v>
      </c>
      <c r="M60" s="365">
        <v>0.9</v>
      </c>
      <c r="N60" s="365">
        <v>0.32</v>
      </c>
      <c r="O60" s="365">
        <f t="shared" ref="O60" si="13">N60*M60</f>
        <v>0.28800000000000003</v>
      </c>
    </row>
    <row r="61" spans="1:15">
      <c r="I61" s="487"/>
      <c r="J61" s="488"/>
      <c r="K61" s="489" t="s">
        <v>259</v>
      </c>
      <c r="L61" s="489" t="s">
        <v>24</v>
      </c>
      <c r="M61" s="490">
        <f>('3.Hd'!M386*4)</f>
        <v>0.79019095477386936</v>
      </c>
      <c r="N61" s="489">
        <v>0.25</v>
      </c>
      <c r="O61" s="490">
        <f>6*M61*N61</f>
        <v>1.1852864321608041</v>
      </c>
    </row>
    <row r="62" spans="1:15">
      <c r="A62" s="1" t="s">
        <v>0</v>
      </c>
      <c r="B62" s="1402" t="s">
        <v>566</v>
      </c>
      <c r="C62" s="1403"/>
      <c r="D62" s="1403"/>
      <c r="E62" s="1404"/>
      <c r="F62" s="1508"/>
      <c r="G62" s="1402" t="s">
        <v>567</v>
      </c>
      <c r="H62" s="1403"/>
      <c r="I62" s="1415"/>
      <c r="J62" s="1415"/>
      <c r="K62" s="1416"/>
      <c r="L62" s="1357" t="s">
        <v>5</v>
      </c>
      <c r="M62" s="1358"/>
      <c r="N62" s="1357" t="s">
        <v>6</v>
      </c>
      <c r="O62" s="1358"/>
    </row>
    <row r="63" spans="1:15" ht="23.5" customHeight="1">
      <c r="A63" s="47">
        <v>4</v>
      </c>
      <c r="B63" s="1605" t="s">
        <v>232</v>
      </c>
      <c r="C63" s="1606"/>
      <c r="D63" s="1606"/>
      <c r="E63" s="1607"/>
      <c r="F63" s="1509"/>
      <c r="G63" s="1414" t="s">
        <v>568</v>
      </c>
      <c r="H63" s="1415"/>
      <c r="I63" s="1415"/>
      <c r="J63" s="1415"/>
      <c r="K63" s="1416"/>
      <c r="L63" s="1391" t="str">
        <f>'1.Dati'!L2:M2</f>
        <v>Prof. R. RICCIU</v>
      </c>
      <c r="M63" s="1392"/>
      <c r="N63" s="1391" t="str">
        <f>N32</f>
        <v>X</v>
      </c>
      <c r="O63" s="1392"/>
    </row>
    <row r="64" spans="1:15">
      <c r="A64" s="48" t="s">
        <v>64</v>
      </c>
      <c r="B64" s="1608"/>
      <c r="C64" s="1609"/>
      <c r="D64" s="1609"/>
      <c r="E64" s="1610"/>
      <c r="F64" s="1510"/>
      <c r="G64" s="1354" t="str">
        <f>'1.Dati'!G3:K3</f>
        <v>LAB. INTEGR. DI PROG. TECN. (TERMOFISICA DELL'EDIFICIO) a.a. 2019/2020</v>
      </c>
      <c r="H64" s="1355"/>
      <c r="I64" s="1355"/>
      <c r="J64" s="1355"/>
      <c r="K64" s="1356"/>
      <c r="L64" s="1357" t="s">
        <v>1028</v>
      </c>
      <c r="M64" s="1358"/>
      <c r="N64" s="1357" t="str">
        <f>N33</f>
        <v>Y</v>
      </c>
      <c r="O64" s="1358"/>
    </row>
    <row r="65" spans="1:15">
      <c r="A65" s="20"/>
      <c r="B65" s="20"/>
      <c r="C65" s="20"/>
      <c r="D65" s="20"/>
      <c r="E65" s="20"/>
      <c r="G65" s="20"/>
      <c r="H65" s="20"/>
      <c r="I65" s="20"/>
      <c r="J65" s="20"/>
      <c r="K65" s="20"/>
      <c r="L65" s="20"/>
      <c r="M65" s="20"/>
    </row>
    <row r="66" spans="1:15" ht="16">
      <c r="A66" s="1600" t="s">
        <v>297</v>
      </c>
      <c r="B66" s="1600"/>
      <c r="C66" s="1600"/>
      <c r="D66" s="1600"/>
      <c r="E66" s="1600"/>
      <c r="F66" s="1600"/>
      <c r="G66" s="1600"/>
      <c r="H66" s="1600"/>
      <c r="I66" s="1600"/>
      <c r="J66" s="1600"/>
      <c r="K66" s="1600"/>
      <c r="L66" s="1600"/>
      <c r="M66" s="1600"/>
      <c r="N66" s="1600"/>
      <c r="O66" s="1600"/>
    </row>
    <row r="68" spans="1:15">
      <c r="A68" s="1601" t="s">
        <v>30</v>
      </c>
      <c r="B68" s="1598" t="s">
        <v>239</v>
      </c>
      <c r="C68" s="1598"/>
      <c r="D68" s="1602" t="s">
        <v>235</v>
      </c>
      <c r="E68" s="1603" t="s">
        <v>240</v>
      </c>
      <c r="F68" s="1603" t="s">
        <v>241</v>
      </c>
      <c r="G68" s="1603"/>
    </row>
    <row r="69" spans="1:15">
      <c r="A69" s="1601"/>
      <c r="B69" s="1598"/>
      <c r="C69" s="1598"/>
      <c r="D69" s="1602"/>
      <c r="E69" s="1604"/>
      <c r="F69" s="1603"/>
      <c r="G69" s="1603"/>
    </row>
    <row r="70" spans="1:15" ht="16">
      <c r="A70" s="190" t="s">
        <v>29</v>
      </c>
      <c r="B70" s="1576" t="s">
        <v>238</v>
      </c>
      <c r="C70" s="1577"/>
      <c r="D70" s="1578" t="s">
        <v>24</v>
      </c>
      <c r="E70" s="179" t="s">
        <v>237</v>
      </c>
      <c r="F70" s="1576" t="s">
        <v>254</v>
      </c>
      <c r="G70" s="1577"/>
    </row>
    <row r="71" spans="1:15">
      <c r="A71" s="175" t="s">
        <v>33</v>
      </c>
      <c r="B71" s="1580" t="s">
        <v>234</v>
      </c>
      <c r="C71" s="1581"/>
      <c r="D71" s="1579"/>
      <c r="E71" s="175" t="s">
        <v>236</v>
      </c>
      <c r="F71" s="1586" t="s">
        <v>75</v>
      </c>
      <c r="G71" s="1587"/>
    </row>
    <row r="72" spans="1:15">
      <c r="A72" s="93">
        <f>'1.Dati'!M9+'1.Dati'!M10</f>
        <v>481.75933333333336</v>
      </c>
      <c r="B72" s="1545">
        <v>1200</v>
      </c>
      <c r="C72" s="1545"/>
      <c r="D72" s="95">
        <v>1</v>
      </c>
      <c r="E72" s="512">
        <v>0.3</v>
      </c>
      <c r="F72" s="512">
        <f>(A72*B72*D72*E72)/3600</f>
        <v>48.17593333333334</v>
      </c>
      <c r="G72" s="513"/>
    </row>
    <row r="73" spans="1:15">
      <c r="A73" s="10"/>
      <c r="B73" s="10"/>
      <c r="C73" s="10"/>
      <c r="D73" s="10"/>
      <c r="E73" s="11"/>
      <c r="F73" s="11"/>
      <c r="G73" s="11"/>
    </row>
    <row r="74" spans="1:15" ht="16">
      <c r="A74" s="1582" t="s">
        <v>335</v>
      </c>
      <c r="B74" s="1582"/>
      <c r="C74" s="1582"/>
      <c r="D74" s="191" t="s">
        <v>253</v>
      </c>
      <c r="E74" s="27" t="s">
        <v>75</v>
      </c>
      <c r="F74" s="1588">
        <f>G58</f>
        <v>244.82438938879778</v>
      </c>
      <c r="G74" s="1588"/>
    </row>
    <row r="75" spans="1:15" ht="16">
      <c r="A75" s="1582"/>
      <c r="B75" s="1582"/>
      <c r="C75" s="1582"/>
      <c r="D75" s="191" t="s">
        <v>254</v>
      </c>
      <c r="E75" s="27" t="s">
        <v>75</v>
      </c>
      <c r="F75" s="1588">
        <f>F72</f>
        <v>48.17593333333334</v>
      </c>
      <c r="G75" s="1588"/>
    </row>
    <row r="76" spans="1:15" ht="16">
      <c r="A76" s="1582"/>
      <c r="B76" s="1582"/>
      <c r="C76" s="1582"/>
      <c r="D76" s="191" t="s">
        <v>255</v>
      </c>
      <c r="E76" s="27" t="s">
        <v>75</v>
      </c>
      <c r="F76" s="1588">
        <f>F74+F75</f>
        <v>293.0003227221311</v>
      </c>
      <c r="G76" s="1588"/>
    </row>
    <row r="80" spans="1:15">
      <c r="A80" s="1599" t="s">
        <v>256</v>
      </c>
      <c r="B80" s="1599"/>
      <c r="C80" s="1599"/>
    </row>
    <row r="81" spans="1:9" ht="16">
      <c r="A81" s="1575" t="s">
        <v>257</v>
      </c>
      <c r="B81" s="1575"/>
      <c r="C81" s="93">
        <f>F76/(F27+F76)</f>
        <v>0.29261345186897986</v>
      </c>
      <c r="D81" s="86"/>
      <c r="E81" s="86"/>
      <c r="F81" s="87"/>
      <c r="G81" s="86"/>
      <c r="H81" s="86"/>
      <c r="I81" s="86"/>
    </row>
    <row r="82" spans="1:9">
      <c r="A82" s="86"/>
      <c r="B82" s="86"/>
      <c r="C82" s="86"/>
      <c r="D82" s="86"/>
      <c r="E82" s="86"/>
      <c r="F82" s="87"/>
      <c r="G82" s="86"/>
      <c r="H82" s="86"/>
      <c r="I82" s="86"/>
    </row>
    <row r="83" spans="1:9">
      <c r="A83" s="86"/>
      <c r="B83" s="86"/>
      <c r="C83" s="86"/>
      <c r="D83" s="86"/>
      <c r="E83" s="86"/>
      <c r="F83" s="87"/>
      <c r="G83" s="86"/>
      <c r="H83" s="86"/>
      <c r="I83" s="86"/>
    </row>
    <row r="84" spans="1:9" ht="18" customHeight="1">
      <c r="A84" s="1593" t="s">
        <v>262</v>
      </c>
      <c r="B84" s="1591" t="s">
        <v>25</v>
      </c>
      <c r="C84" s="1589" t="s">
        <v>641</v>
      </c>
      <c r="D84" s="1589" t="s">
        <v>640</v>
      </c>
      <c r="E84" s="450" t="s">
        <v>642</v>
      </c>
      <c r="F84" s="1583" t="s">
        <v>257</v>
      </c>
      <c r="G84" s="450" t="s">
        <v>643</v>
      </c>
      <c r="H84" s="495"/>
    </row>
    <row r="85" spans="1:9" ht="15" customHeight="1">
      <c r="A85" s="1594"/>
      <c r="B85" s="1592"/>
      <c r="C85" s="1590"/>
      <c r="D85" s="1590"/>
      <c r="E85" s="451"/>
      <c r="F85" s="1584"/>
      <c r="G85" s="451"/>
      <c r="H85" s="495"/>
      <c r="I85" s="86"/>
    </row>
    <row r="86" spans="1:9" ht="15" customHeight="1">
      <c r="A86" s="117" t="s">
        <v>226</v>
      </c>
      <c r="B86" s="168" t="s">
        <v>24</v>
      </c>
      <c r="C86" s="102" t="s">
        <v>75</v>
      </c>
      <c r="D86" s="102" t="s">
        <v>75</v>
      </c>
      <c r="E86" s="452" t="s">
        <v>75</v>
      </c>
      <c r="F86" s="1585"/>
      <c r="G86" s="452" t="s">
        <v>75</v>
      </c>
      <c r="H86" s="495"/>
      <c r="I86" s="86"/>
    </row>
    <row r="87" spans="1:9">
      <c r="A87" s="453"/>
      <c r="B87" s="443"/>
      <c r="C87" s="444">
        <f>F27</f>
        <v>708.3217998620504</v>
      </c>
      <c r="D87" s="444">
        <f>F76</f>
        <v>293.0003227221311</v>
      </c>
      <c r="E87" s="444">
        <f>SUM(C87:D87)</f>
        <v>1001.3221225841814</v>
      </c>
      <c r="F87" s="138">
        <f>C81</f>
        <v>0.29261345186897986</v>
      </c>
      <c r="G87" s="442">
        <f>F87*E87</f>
        <v>293.0003227221311</v>
      </c>
      <c r="H87" s="86"/>
      <c r="I87" s="86"/>
    </row>
    <row r="88" spans="1:9">
      <c r="A88" s="493"/>
      <c r="B88" s="494"/>
      <c r="C88" s="484"/>
      <c r="D88" s="484"/>
      <c r="E88" s="484"/>
      <c r="F88" s="454"/>
      <c r="G88" s="292"/>
      <c r="H88" s="86"/>
      <c r="I88" s="86"/>
    </row>
    <row r="89" spans="1:9">
      <c r="A89" s="294"/>
      <c r="B89" s="65"/>
      <c r="C89" s="145"/>
      <c r="D89" s="145"/>
      <c r="E89" s="145"/>
      <c r="F89" s="87"/>
      <c r="G89" s="86"/>
      <c r="H89" s="86"/>
      <c r="I89" s="86"/>
    </row>
    <row r="90" spans="1:9">
      <c r="A90" s="86"/>
      <c r="B90" s="86"/>
      <c r="C90" s="86"/>
      <c r="D90" s="86"/>
      <c r="E90" s="86"/>
      <c r="F90" s="87"/>
      <c r="G90" s="86"/>
      <c r="H90" s="86"/>
      <c r="I90" s="86"/>
    </row>
    <row r="91" spans="1:9">
      <c r="A91" s="86"/>
      <c r="B91" s="86"/>
      <c r="C91" s="86"/>
      <c r="D91" s="86"/>
      <c r="E91" s="86"/>
      <c r="F91" s="87"/>
      <c r="G91" s="86"/>
      <c r="H91" s="86"/>
      <c r="I91" s="86"/>
    </row>
  </sheetData>
  <mergeCells count="94">
    <mergeCell ref="N31:O31"/>
    <mergeCell ref="B22:C22"/>
    <mergeCell ref="A7:B7"/>
    <mergeCell ref="B1:E1"/>
    <mergeCell ref="F1:F3"/>
    <mergeCell ref="G1:K1"/>
    <mergeCell ref="C8:C9"/>
    <mergeCell ref="A5:O5"/>
    <mergeCell ref="L1:M1"/>
    <mergeCell ref="N1:O1"/>
    <mergeCell ref="B2:E3"/>
    <mergeCell ref="G2:K2"/>
    <mergeCell ref="L2:M2"/>
    <mergeCell ref="N2:O2"/>
    <mergeCell ref="G3:K3"/>
    <mergeCell ref="L3:M3"/>
    <mergeCell ref="L33:M33"/>
    <mergeCell ref="N32:O32"/>
    <mergeCell ref="L31:M31"/>
    <mergeCell ref="A8:B9"/>
    <mergeCell ref="N3:O3"/>
    <mergeCell ref="L32:M32"/>
    <mergeCell ref="A17:O17"/>
    <mergeCell ref="B23:C23"/>
    <mergeCell ref="A25:C27"/>
    <mergeCell ref="F25:G25"/>
    <mergeCell ref="F26:G26"/>
    <mergeCell ref="F27:G27"/>
    <mergeCell ref="E19:E20"/>
    <mergeCell ref="F19:G20"/>
    <mergeCell ref="F21:G21"/>
    <mergeCell ref="F22:G22"/>
    <mergeCell ref="K8:K9"/>
    <mergeCell ref="L8:L9"/>
    <mergeCell ref="D19:D20"/>
    <mergeCell ref="A19:A20"/>
    <mergeCell ref="B19:C20"/>
    <mergeCell ref="D21:D22"/>
    <mergeCell ref="K38:K39"/>
    <mergeCell ref="B31:E31"/>
    <mergeCell ref="F31:F33"/>
    <mergeCell ref="G31:K31"/>
    <mergeCell ref="B32:E33"/>
    <mergeCell ref="G32:K32"/>
    <mergeCell ref="G33:K33"/>
    <mergeCell ref="A35:O35"/>
    <mergeCell ref="A38:A39"/>
    <mergeCell ref="B38:B39"/>
    <mergeCell ref="C38:C39"/>
    <mergeCell ref="D38:D39"/>
    <mergeCell ref="L38:L39"/>
    <mergeCell ref="N33:O33"/>
    <mergeCell ref="B21:C21"/>
    <mergeCell ref="G62:K62"/>
    <mergeCell ref="L62:M62"/>
    <mergeCell ref="N62:O62"/>
    <mergeCell ref="B63:E64"/>
    <mergeCell ref="G63:K63"/>
    <mergeCell ref="L63:M63"/>
    <mergeCell ref="N63:O63"/>
    <mergeCell ref="G64:K64"/>
    <mergeCell ref="L64:M64"/>
    <mergeCell ref="N64:O64"/>
    <mergeCell ref="D84:D85"/>
    <mergeCell ref="B84:B85"/>
    <mergeCell ref="A84:A85"/>
    <mergeCell ref="C84:C85"/>
    <mergeCell ref="A50:A53"/>
    <mergeCell ref="A54:A57"/>
    <mergeCell ref="B54:B57"/>
    <mergeCell ref="B50:B53"/>
    <mergeCell ref="B68:C69"/>
    <mergeCell ref="B62:E62"/>
    <mergeCell ref="A80:C80"/>
    <mergeCell ref="A66:O66"/>
    <mergeCell ref="A68:A69"/>
    <mergeCell ref="D68:D69"/>
    <mergeCell ref="E68:E69"/>
    <mergeCell ref="F68:G69"/>
    <mergeCell ref="F84:F86"/>
    <mergeCell ref="F70:G70"/>
    <mergeCell ref="F71:G71"/>
    <mergeCell ref="F74:G74"/>
    <mergeCell ref="F75:G75"/>
    <mergeCell ref="F76:G76"/>
    <mergeCell ref="B40:B49"/>
    <mergeCell ref="A40:A49"/>
    <mergeCell ref="A81:B81"/>
    <mergeCell ref="F62:F64"/>
    <mergeCell ref="B70:C70"/>
    <mergeCell ref="D70:D71"/>
    <mergeCell ref="B71:C71"/>
    <mergeCell ref="B72:C72"/>
    <mergeCell ref="A74:C76"/>
  </mergeCells>
  <pageMargins left="0.39370078740157483" right="0.39370078740157483" top="0.39370078740157483" bottom="0.39370078740157483" header="0.11811023622047244" footer="0.11811023622047244"/>
  <pageSetup paperSize="9" scale="73" orientation="landscape" horizontalDpi="360" verticalDpi="360"/>
  <rowBreaks count="2" manualBreakCount="2">
    <brk id="30" max="16383" man="1"/>
    <brk id="61" max="16383" man="1"/>
  </rowBreaks>
  <colBreaks count="1" manualBreakCount="1">
    <brk id="15" max="1048575" man="1"/>
  </col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W79"/>
  <sheetViews>
    <sheetView zoomScale="145" zoomScaleNormal="145" zoomScalePageLayoutView="145" workbookViewId="0">
      <selection activeCell="G55" sqref="G55:K55"/>
    </sheetView>
  </sheetViews>
  <sheetFormatPr baseColWidth="10" defaultColWidth="8.83203125" defaultRowHeight="15"/>
  <cols>
    <col min="1" max="15" width="13.33203125" style="20" customWidth="1"/>
    <col min="16" max="19" width="8.83203125" style="20"/>
  </cols>
  <sheetData>
    <row r="1" spans="1:23">
      <c r="A1" s="150" t="s">
        <v>0</v>
      </c>
      <c r="B1" s="1620" t="str">
        <f>'1.Dati'!B1:E1</f>
        <v>Calcolo semplificato del fabbisogno di un edificio</v>
      </c>
      <c r="C1" s="1621"/>
      <c r="D1" s="1621"/>
      <c r="E1" s="1622"/>
      <c r="F1" s="1508"/>
      <c r="G1" s="1402" t="str">
        <f>'1.Dati'!G1:K1</f>
        <v>UNIVERSITA' DEGLI STUDI DI CAGLIARI</v>
      </c>
      <c r="H1" s="1403"/>
      <c r="I1" s="1403"/>
      <c r="J1" s="1403"/>
      <c r="K1" s="1404"/>
      <c r="L1" s="1405" t="s">
        <v>5</v>
      </c>
      <c r="M1" s="1405"/>
      <c r="N1" s="1405" t="s">
        <v>6</v>
      </c>
      <c r="O1" s="1405"/>
    </row>
    <row r="2" spans="1:23" ht="24">
      <c r="A2" s="47">
        <v>5</v>
      </c>
      <c r="B2" s="1637" t="s">
        <v>263</v>
      </c>
      <c r="C2" s="1638"/>
      <c r="D2" s="1638"/>
      <c r="E2" s="1639"/>
      <c r="F2" s="1509"/>
      <c r="G2" s="1414" t="str">
        <f>'1.Dati'!G2:K2</f>
        <v>Dipartimento di Ingegneria Civile, Ambientale e Architettura</v>
      </c>
      <c r="H2" s="1415"/>
      <c r="I2" s="1415"/>
      <c r="J2" s="1415"/>
      <c r="K2" s="1416"/>
      <c r="L2" s="1406" t="str">
        <f>'1.Dati'!L2:M2</f>
        <v>Prof. R. RICCIU</v>
      </c>
      <c r="M2" s="1407"/>
      <c r="N2" s="1406"/>
      <c r="O2" s="1407"/>
    </row>
    <row r="3" spans="1:23">
      <c r="A3" s="48" t="s">
        <v>62</v>
      </c>
      <c r="B3" s="1640"/>
      <c r="C3" s="1641"/>
      <c r="D3" s="1641"/>
      <c r="E3" s="1642"/>
      <c r="F3" s="1510"/>
      <c r="G3" s="1542" t="str">
        <f>'1.Dati'!G3:K3</f>
        <v>LAB. INTEGR. DI PROG. TECN. (TERMOFISICA DELL'EDIFICIO) a.a. 2019/2020</v>
      </c>
      <c r="H3" s="1543"/>
      <c r="I3" s="1543"/>
      <c r="J3" s="1543"/>
      <c r="K3" s="1544"/>
      <c r="L3" s="1357" t="s">
        <v>574</v>
      </c>
      <c r="M3" s="1358"/>
      <c r="N3" s="1357"/>
      <c r="O3" s="1358"/>
    </row>
    <row r="5" spans="1:23">
      <c r="A5" s="1603" t="s">
        <v>264</v>
      </c>
      <c r="B5" s="1603" t="s">
        <v>265</v>
      </c>
      <c r="C5" s="1603" t="s">
        <v>266</v>
      </c>
      <c r="E5" s="1636"/>
      <c r="F5" s="1635" t="s">
        <v>269</v>
      </c>
      <c r="G5" s="1635"/>
      <c r="H5" s="1635"/>
    </row>
    <row r="6" spans="1:23" ht="17.25" customHeight="1">
      <c r="A6" s="1603"/>
      <c r="B6" s="1603"/>
      <c r="C6" s="1603"/>
      <c r="E6" s="1636"/>
      <c r="F6" s="1635"/>
      <c r="G6" s="1635"/>
      <c r="H6" s="1635"/>
    </row>
    <row r="7" spans="1:23">
      <c r="A7" s="1549" t="s">
        <v>24</v>
      </c>
      <c r="B7" s="181" t="s">
        <v>42</v>
      </c>
      <c r="C7" s="182" t="s">
        <v>267</v>
      </c>
      <c r="E7" s="1636"/>
      <c r="F7" s="184" t="s">
        <v>270</v>
      </c>
      <c r="G7" s="185" t="s">
        <v>271</v>
      </c>
      <c r="H7" s="185" t="s">
        <v>272</v>
      </c>
    </row>
    <row r="8" spans="1:23" ht="17">
      <c r="A8" s="1550"/>
      <c r="B8" s="175" t="s">
        <v>91</v>
      </c>
      <c r="C8" s="180" t="s">
        <v>234</v>
      </c>
      <c r="E8" s="183" t="s">
        <v>273</v>
      </c>
      <c r="F8" s="139">
        <v>0.1</v>
      </c>
      <c r="G8" s="139">
        <v>0.13</v>
      </c>
      <c r="H8" s="139">
        <v>0.17</v>
      </c>
    </row>
    <row r="9" spans="1:23" ht="17">
      <c r="A9" s="28" t="s">
        <v>268</v>
      </c>
      <c r="B9" s="139">
        <v>1.5</v>
      </c>
      <c r="C9" s="154">
        <f>3*10^6</f>
        <v>3000000</v>
      </c>
      <c r="E9" s="183" t="s">
        <v>274</v>
      </c>
      <c r="F9" s="139">
        <v>0.04</v>
      </c>
      <c r="G9" s="139">
        <v>0.04</v>
      </c>
      <c r="H9" s="139">
        <v>0.04</v>
      </c>
    </row>
    <row r="11" spans="1:23">
      <c r="P11" s="126"/>
      <c r="Q11" s="126"/>
      <c r="R11" s="126"/>
      <c r="S11" s="126"/>
      <c r="T11" s="9"/>
      <c r="U11" s="9"/>
      <c r="V11" s="9"/>
      <c r="W11" s="9"/>
    </row>
    <row r="12" spans="1:23" ht="15" customHeight="1">
      <c r="A12" s="140" t="s">
        <v>85</v>
      </c>
      <c r="B12" s="1603" t="s">
        <v>25</v>
      </c>
      <c r="C12" s="1604" t="s">
        <v>275</v>
      </c>
      <c r="D12" s="1604" t="s">
        <v>26</v>
      </c>
      <c r="E12" s="1604" t="s">
        <v>276</v>
      </c>
      <c r="F12" s="1604" t="s">
        <v>277</v>
      </c>
      <c r="G12" s="1604" t="s">
        <v>278</v>
      </c>
      <c r="H12" s="1604" t="s">
        <v>279</v>
      </c>
      <c r="I12" s="1604" t="s">
        <v>286</v>
      </c>
      <c r="J12" s="1604" t="s">
        <v>79</v>
      </c>
      <c r="K12" s="1604" t="s">
        <v>225</v>
      </c>
      <c r="P12" s="126"/>
      <c r="Q12" s="156"/>
      <c r="R12" s="156"/>
      <c r="S12" s="156"/>
      <c r="T12" s="156"/>
      <c r="U12" s="156"/>
      <c r="V12" s="156"/>
      <c r="W12" s="156"/>
    </row>
    <row r="13" spans="1:23" ht="17.25" customHeight="1">
      <c r="A13" s="132" t="s">
        <v>227</v>
      </c>
      <c r="B13" s="1603"/>
      <c r="C13" s="1618"/>
      <c r="D13" s="1618"/>
      <c r="E13" s="1618"/>
      <c r="F13" s="1618"/>
      <c r="G13" s="1618"/>
      <c r="H13" s="1618"/>
      <c r="I13" s="1618"/>
      <c r="J13" s="1618"/>
      <c r="K13" s="1618"/>
      <c r="P13" s="126"/>
      <c r="Q13" s="156"/>
      <c r="R13" s="156"/>
      <c r="S13" s="156"/>
      <c r="T13" s="156"/>
      <c r="U13" s="156"/>
      <c r="V13" s="156"/>
      <c r="W13" s="156"/>
    </row>
    <row r="14" spans="1:23" ht="17">
      <c r="A14" s="1623" t="s">
        <v>35</v>
      </c>
      <c r="B14" s="1549"/>
      <c r="C14" s="177" t="s">
        <v>280</v>
      </c>
      <c r="D14" s="173" t="s">
        <v>27</v>
      </c>
      <c r="E14" s="173" t="s">
        <v>281</v>
      </c>
      <c r="F14" s="173" t="s">
        <v>282</v>
      </c>
      <c r="G14" s="173" t="s">
        <v>283</v>
      </c>
      <c r="H14" s="173" t="s">
        <v>284</v>
      </c>
      <c r="I14" s="178" t="s">
        <v>287</v>
      </c>
      <c r="J14" s="173" t="s">
        <v>90</v>
      </c>
      <c r="K14" s="179" t="s">
        <v>288</v>
      </c>
      <c r="P14" s="126"/>
      <c r="Q14" s="59"/>
      <c r="R14" s="59"/>
      <c r="S14" s="59"/>
      <c r="T14" s="59"/>
      <c r="U14" s="59"/>
      <c r="V14" s="59"/>
      <c r="W14" s="59"/>
    </row>
    <row r="15" spans="1:23">
      <c r="A15" s="1624"/>
      <c r="B15" s="1550"/>
      <c r="C15" s="180" t="s">
        <v>31</v>
      </c>
      <c r="D15" s="175" t="s">
        <v>32</v>
      </c>
      <c r="E15" s="175" t="s">
        <v>31</v>
      </c>
      <c r="F15" s="175" t="s">
        <v>31</v>
      </c>
      <c r="G15" s="175" t="s">
        <v>31</v>
      </c>
      <c r="H15" s="175" t="s">
        <v>285</v>
      </c>
      <c r="I15" s="175" t="s">
        <v>31</v>
      </c>
      <c r="J15" s="175" t="s">
        <v>148</v>
      </c>
      <c r="K15" s="175" t="s">
        <v>128</v>
      </c>
      <c r="P15" s="126"/>
      <c r="Q15" s="53"/>
      <c r="R15" s="53"/>
      <c r="S15" s="53"/>
      <c r="T15" s="53"/>
      <c r="U15" s="53"/>
      <c r="V15" s="53"/>
      <c r="W15" s="53"/>
    </row>
    <row r="16" spans="1:23">
      <c r="A16" s="1624"/>
      <c r="B16" s="192" t="s">
        <v>9</v>
      </c>
      <c r="C16" s="139">
        <v>5.98</v>
      </c>
      <c r="D16" s="139">
        <f>'1.Dati'!D9</f>
        <v>14.82</v>
      </c>
      <c r="E16" s="139">
        <f>D16/(0.5*C16)</f>
        <v>4.9565217391304346</v>
      </c>
      <c r="F16" s="139">
        <f>SUM('2.Stratigrafie'!$I$14:$I$19)</f>
        <v>0.255</v>
      </c>
      <c r="G16" s="139" t="e">
        <f>F16+$B$9*((2*$H$8)+H16)</f>
        <v>#REF!</v>
      </c>
      <c r="H16" s="153" t="e">
        <f>SUM('2.Stratigrafie'!#REF!)</f>
        <v>#REF!</v>
      </c>
      <c r="I16" s="139" t="e">
        <f>F16+($B$9*($H$8+H16+$H$9))</f>
        <v>#REF!</v>
      </c>
      <c r="J16" s="139" t="e">
        <f>((2*$B$9)/((PI()*E16)+I16))*LN(((PI()*E16)/I16)+1)</f>
        <v>#REF!</v>
      </c>
      <c r="K16" s="139" t="e">
        <f>D16*J16</f>
        <v>#REF!</v>
      </c>
      <c r="P16" s="126"/>
      <c r="Q16" s="138"/>
      <c r="R16" s="138"/>
      <c r="S16" s="138"/>
      <c r="T16" s="138"/>
      <c r="U16" s="138"/>
      <c r="V16" s="138"/>
      <c r="W16" s="138"/>
    </row>
    <row r="17" spans="1:23">
      <c r="A17" s="1624"/>
      <c r="B17" s="192" t="s">
        <v>10</v>
      </c>
      <c r="C17" s="139">
        <v>11.93</v>
      </c>
      <c r="D17" s="139" t="e">
        <f>'1.Dati'!#REF!</f>
        <v>#REF!</v>
      </c>
      <c r="E17" s="139" t="e">
        <f t="shared" ref="E17:E21" si="0">D17/(0.5*C17)</f>
        <v>#REF!</v>
      </c>
      <c r="F17" s="139">
        <f>SUM('2.Stratigrafie'!$I$14:$I$19)</f>
        <v>0.255</v>
      </c>
      <c r="G17" s="139" t="e">
        <f t="shared" ref="G17:G21" si="1">F17+$B$9*((2*$H$8)+H17)</f>
        <v>#REF!</v>
      </c>
      <c r="H17" s="153" t="e">
        <f>$H$16</f>
        <v>#REF!</v>
      </c>
      <c r="I17" s="139" t="e">
        <f t="shared" ref="I17:I21" si="2">F17+($B$9*($H$8+H17+$H$9))</f>
        <v>#REF!</v>
      </c>
      <c r="J17" s="139" t="e">
        <f t="shared" ref="J17:J21" si="3">((2*$B$9)/((PI()*E17)+I17))*LN(((PI()*E17)/I17)+1)</f>
        <v>#REF!</v>
      </c>
      <c r="K17" s="139" t="e">
        <f t="shared" ref="K17:K21" si="4">D17*J17</f>
        <v>#REF!</v>
      </c>
      <c r="P17" s="126"/>
      <c r="Q17" s="138"/>
      <c r="R17" s="138"/>
      <c r="S17" s="138"/>
      <c r="T17" s="138"/>
      <c r="U17" s="138"/>
      <c r="V17" s="138"/>
      <c r="W17" s="138"/>
    </row>
    <row r="18" spans="1:23">
      <c r="A18" s="1624"/>
      <c r="B18" s="192" t="s">
        <v>11</v>
      </c>
      <c r="C18" s="139">
        <v>2.1</v>
      </c>
      <c r="D18" s="139" t="e">
        <f>'1.Dati'!#REF!</f>
        <v>#REF!</v>
      </c>
      <c r="E18" s="139" t="e">
        <f t="shared" si="0"/>
        <v>#REF!</v>
      </c>
      <c r="F18" s="139">
        <f>SUM('2.Stratigrafie'!$I$14:$I$19)</f>
        <v>0.255</v>
      </c>
      <c r="G18" s="139" t="e">
        <f t="shared" si="1"/>
        <v>#REF!</v>
      </c>
      <c r="H18" s="153" t="e">
        <f>$H$16</f>
        <v>#REF!</v>
      </c>
      <c r="I18" s="139" t="e">
        <f t="shared" si="2"/>
        <v>#REF!</v>
      </c>
      <c r="J18" s="139" t="e">
        <f t="shared" si="3"/>
        <v>#REF!</v>
      </c>
      <c r="K18" s="139" t="e">
        <f t="shared" si="4"/>
        <v>#REF!</v>
      </c>
      <c r="P18" s="126"/>
      <c r="Q18" s="138"/>
      <c r="R18" s="138"/>
      <c r="S18" s="138"/>
      <c r="T18" s="138"/>
      <c r="U18" s="138"/>
      <c r="V18" s="138"/>
      <c r="W18" s="138"/>
    </row>
    <row r="19" spans="1:23">
      <c r="A19" s="1624"/>
      <c r="B19" s="192" t="s">
        <v>12</v>
      </c>
      <c r="C19" s="139">
        <v>8.2799999999999994</v>
      </c>
      <c r="D19" s="139" t="e">
        <f>'1.Dati'!#REF!</f>
        <v>#REF!</v>
      </c>
      <c r="E19" s="139" t="e">
        <f t="shared" si="0"/>
        <v>#REF!</v>
      </c>
      <c r="F19" s="139">
        <f>SUM('2.Stratigrafie'!$I$14:$I$19)</f>
        <v>0.255</v>
      </c>
      <c r="G19" s="139" t="e">
        <f t="shared" si="1"/>
        <v>#REF!</v>
      </c>
      <c r="H19" s="153" t="e">
        <f>$H$16</f>
        <v>#REF!</v>
      </c>
      <c r="I19" s="139" t="e">
        <f t="shared" si="2"/>
        <v>#REF!</v>
      </c>
      <c r="J19" s="139" t="e">
        <f t="shared" si="3"/>
        <v>#REF!</v>
      </c>
      <c r="K19" s="139" t="e">
        <f t="shared" si="4"/>
        <v>#REF!</v>
      </c>
      <c r="P19" s="126"/>
      <c r="Q19" s="138"/>
      <c r="R19" s="138"/>
      <c r="S19" s="138"/>
      <c r="T19" s="138"/>
      <c r="U19" s="138"/>
      <c r="V19" s="138"/>
      <c r="W19" s="138"/>
    </row>
    <row r="20" spans="1:23">
      <c r="A20" s="1624"/>
      <c r="B20" s="192" t="s">
        <v>13</v>
      </c>
      <c r="C20" s="139">
        <v>3</v>
      </c>
      <c r="D20" s="139">
        <f>'1.Dati'!D11</f>
        <v>5.9773999999999994</v>
      </c>
      <c r="E20" s="139">
        <f t="shared" si="0"/>
        <v>3.9849333333333328</v>
      </c>
      <c r="F20" s="139">
        <f>SUM('2.Stratigrafie'!$I$14:$I$19)</f>
        <v>0.255</v>
      </c>
      <c r="G20" s="139" t="e">
        <f t="shared" si="1"/>
        <v>#REF!</v>
      </c>
      <c r="H20" s="153" t="e">
        <f>$H$16</f>
        <v>#REF!</v>
      </c>
      <c r="I20" s="139" t="e">
        <f t="shared" si="2"/>
        <v>#REF!</v>
      </c>
      <c r="J20" s="139" t="e">
        <f t="shared" si="3"/>
        <v>#REF!</v>
      </c>
      <c r="K20" s="139" t="e">
        <f t="shared" si="4"/>
        <v>#REF!</v>
      </c>
      <c r="P20" s="126"/>
      <c r="Q20" s="138"/>
      <c r="R20" s="138"/>
      <c r="S20" s="138"/>
      <c r="T20" s="138"/>
      <c r="U20" s="138"/>
      <c r="V20" s="138"/>
      <c r="W20" s="138"/>
    </row>
    <row r="21" spans="1:23">
      <c r="A21" s="1625"/>
      <c r="B21" s="192" t="s">
        <v>76</v>
      </c>
      <c r="C21" s="139">
        <v>1.37</v>
      </c>
      <c r="D21" s="139">
        <f>'1.Dati'!D10</f>
        <v>37.56</v>
      </c>
      <c r="E21" s="139">
        <f t="shared" si="0"/>
        <v>54.832116788321166</v>
      </c>
      <c r="F21" s="139">
        <f>SUM('2.Stratigrafie'!$I$14:$I$19)</f>
        <v>0.255</v>
      </c>
      <c r="G21" s="139" t="e">
        <f t="shared" si="1"/>
        <v>#REF!</v>
      </c>
      <c r="H21" s="139" t="e">
        <f>$H$16</f>
        <v>#REF!</v>
      </c>
      <c r="I21" s="139" t="e">
        <f t="shared" si="2"/>
        <v>#REF!</v>
      </c>
      <c r="J21" s="139" t="e">
        <f t="shared" si="3"/>
        <v>#REF!</v>
      </c>
      <c r="K21" s="139" t="e">
        <f t="shared" si="4"/>
        <v>#REF!</v>
      </c>
      <c r="P21" s="126"/>
      <c r="Q21" s="138"/>
      <c r="R21" s="138"/>
      <c r="S21" s="138"/>
      <c r="T21" s="138"/>
      <c r="U21" s="138"/>
      <c r="V21" s="138"/>
      <c r="W21" s="138"/>
    </row>
    <row r="22" spans="1:23">
      <c r="P22" s="126"/>
      <c r="Q22" s="126"/>
      <c r="R22" s="126"/>
      <c r="S22" s="126"/>
      <c r="T22" s="9"/>
      <c r="U22" s="9"/>
      <c r="V22" s="9"/>
      <c r="W22" s="9"/>
    </row>
    <row r="23" spans="1:23" ht="16" thickBot="1">
      <c r="P23" s="126"/>
      <c r="Q23" s="126"/>
      <c r="R23" s="126"/>
      <c r="S23" s="126"/>
      <c r="T23" s="9"/>
      <c r="U23" s="9"/>
      <c r="V23" s="9"/>
      <c r="W23" s="9"/>
    </row>
    <row r="24" spans="1:23">
      <c r="A24" s="344" t="s">
        <v>85</v>
      </c>
      <c r="B24" s="345" t="s">
        <v>25</v>
      </c>
      <c r="C24" s="345" t="s">
        <v>260</v>
      </c>
      <c r="D24" s="346" t="s">
        <v>88</v>
      </c>
      <c r="E24" s="347" t="s">
        <v>79</v>
      </c>
      <c r="F24" s="348" t="s">
        <v>89</v>
      </c>
      <c r="G24" s="349" t="s">
        <v>225</v>
      </c>
      <c r="H24" s="131"/>
      <c r="P24" s="126"/>
      <c r="Q24" s="126"/>
      <c r="R24" s="126"/>
      <c r="S24" s="126"/>
      <c r="T24" s="9"/>
      <c r="U24" s="9"/>
      <c r="V24" s="9"/>
      <c r="W24" s="9"/>
    </row>
    <row r="25" spans="1:23" ht="17">
      <c r="A25" s="1626" t="s">
        <v>87</v>
      </c>
      <c r="B25" s="1549" t="s">
        <v>24</v>
      </c>
      <c r="C25" s="1498" t="s">
        <v>24</v>
      </c>
      <c r="D25" s="1498" t="s">
        <v>24</v>
      </c>
      <c r="E25" s="173" t="s">
        <v>289</v>
      </c>
      <c r="F25" s="173" t="s">
        <v>290</v>
      </c>
      <c r="G25" s="350" t="s">
        <v>291</v>
      </c>
      <c r="H25" s="52"/>
      <c r="P25" s="126"/>
      <c r="Q25" s="126"/>
      <c r="R25" s="126"/>
      <c r="S25" s="126"/>
      <c r="T25" s="9"/>
      <c r="U25" s="9"/>
      <c r="V25" s="9"/>
      <c r="W25" s="9"/>
    </row>
    <row r="26" spans="1:23">
      <c r="A26" s="1627"/>
      <c r="B26" s="1550"/>
      <c r="C26" s="1628"/>
      <c r="D26" s="1628"/>
      <c r="E26" s="174" t="s">
        <v>44</v>
      </c>
      <c r="F26" s="175" t="s">
        <v>127</v>
      </c>
      <c r="G26" s="351" t="s">
        <v>75</v>
      </c>
      <c r="H26" s="53"/>
      <c r="P26" s="126"/>
      <c r="Q26" s="126"/>
      <c r="R26" s="126"/>
      <c r="S26" s="126"/>
      <c r="T26" s="9"/>
      <c r="U26" s="9"/>
      <c r="V26" s="9"/>
      <c r="W26" s="9"/>
    </row>
    <row r="27" spans="1:23" ht="15" customHeight="1">
      <c r="A27" s="1629" t="s">
        <v>35</v>
      </c>
      <c r="B27" s="1634" t="s">
        <v>9</v>
      </c>
      <c r="C27" s="155" t="s">
        <v>107</v>
      </c>
      <c r="D27" s="334" t="s">
        <v>97</v>
      </c>
      <c r="E27" s="334">
        <v>0.75</v>
      </c>
      <c r="F27" s="334">
        <v>2.2999999999999998</v>
      </c>
      <c r="G27" s="352">
        <f>E27*F27</f>
        <v>1.7249999999999999</v>
      </c>
      <c r="H27" s="11"/>
      <c r="K27" s="126"/>
      <c r="L27" s="126"/>
      <c r="M27" s="126"/>
      <c r="N27" s="126"/>
      <c r="P27" s="126"/>
      <c r="Q27" s="126"/>
      <c r="R27" s="126"/>
      <c r="S27" s="126"/>
      <c r="T27" s="9"/>
      <c r="U27" s="9"/>
      <c r="V27" s="9"/>
      <c r="W27" s="9"/>
    </row>
    <row r="28" spans="1:23">
      <c r="A28" s="1630"/>
      <c r="B28" s="1634"/>
      <c r="C28" s="155" t="s">
        <v>108</v>
      </c>
      <c r="D28" s="334" t="s">
        <v>97</v>
      </c>
      <c r="E28" s="334">
        <v>0.75</v>
      </c>
      <c r="F28" s="334">
        <v>3.68</v>
      </c>
      <c r="G28" s="352">
        <f t="shared" ref="G28:G38" si="5">E28*F28</f>
        <v>2.7600000000000002</v>
      </c>
      <c r="H28" s="11"/>
      <c r="K28" s="126"/>
      <c r="L28" s="126"/>
      <c r="M28" s="126"/>
      <c r="N28" s="126"/>
    </row>
    <row r="29" spans="1:23">
      <c r="A29" s="1630"/>
      <c r="B29" s="1495" t="s">
        <v>10</v>
      </c>
      <c r="C29" s="155" t="s">
        <v>109</v>
      </c>
      <c r="D29" s="146" t="s">
        <v>97</v>
      </c>
      <c r="E29" s="334">
        <v>0.75</v>
      </c>
      <c r="F29" s="334">
        <v>2.75</v>
      </c>
      <c r="G29" s="352">
        <f t="shared" si="5"/>
        <v>2.0625</v>
      </c>
      <c r="H29" s="11"/>
      <c r="K29" s="57"/>
      <c r="L29" s="11"/>
      <c r="M29" s="11"/>
      <c r="N29" s="126"/>
    </row>
    <row r="30" spans="1:23">
      <c r="A30" s="1630"/>
      <c r="B30" s="1496"/>
      <c r="C30" s="155" t="s">
        <v>110</v>
      </c>
      <c r="D30" s="146" t="s">
        <v>97</v>
      </c>
      <c r="E30" s="334">
        <v>0.75</v>
      </c>
      <c r="F30" s="334">
        <v>6.1</v>
      </c>
      <c r="G30" s="352">
        <f t="shared" si="5"/>
        <v>4.5749999999999993</v>
      </c>
      <c r="H30" s="11"/>
      <c r="K30" s="57"/>
      <c r="L30" s="11"/>
      <c r="M30" s="11"/>
      <c r="N30" s="126"/>
    </row>
    <row r="31" spans="1:23">
      <c r="A31" s="1630"/>
      <c r="B31" s="1497"/>
      <c r="C31" s="155" t="s">
        <v>111</v>
      </c>
      <c r="D31" s="146" t="s">
        <v>97</v>
      </c>
      <c r="E31" s="334">
        <v>0.75</v>
      </c>
      <c r="F31" s="334">
        <v>4</v>
      </c>
      <c r="G31" s="352">
        <f t="shared" si="5"/>
        <v>3</v>
      </c>
      <c r="H31" s="11"/>
      <c r="K31" s="126"/>
      <c r="L31" s="126"/>
      <c r="M31" s="126"/>
      <c r="N31" s="126"/>
    </row>
    <row r="32" spans="1:23">
      <c r="A32" s="1630"/>
      <c r="B32" s="335" t="s">
        <v>11</v>
      </c>
      <c r="C32" s="155" t="s">
        <v>102</v>
      </c>
      <c r="D32" s="135" t="s">
        <v>97</v>
      </c>
      <c r="E32" s="334">
        <v>0.75</v>
      </c>
      <c r="F32" s="334">
        <v>2.1</v>
      </c>
      <c r="G32" s="352">
        <f t="shared" si="5"/>
        <v>1.5750000000000002</v>
      </c>
      <c r="H32" s="11"/>
    </row>
    <row r="33" spans="1:19">
      <c r="A33" s="1630"/>
      <c r="B33" s="1634" t="s">
        <v>12</v>
      </c>
      <c r="C33" s="155" t="s">
        <v>112</v>
      </c>
      <c r="D33" s="334" t="s">
        <v>97</v>
      </c>
      <c r="E33" s="334">
        <v>0.75</v>
      </c>
      <c r="F33" s="334">
        <v>0.8</v>
      </c>
      <c r="G33" s="352">
        <f t="shared" si="5"/>
        <v>0.60000000000000009</v>
      </c>
      <c r="H33" s="11"/>
    </row>
    <row r="34" spans="1:19">
      <c r="A34" s="1630"/>
      <c r="B34" s="1634"/>
      <c r="C34" s="155" t="s">
        <v>113</v>
      </c>
      <c r="D34" s="334" t="s">
        <v>97</v>
      </c>
      <c r="E34" s="334">
        <v>0.75</v>
      </c>
      <c r="F34" s="334">
        <v>4.5</v>
      </c>
      <c r="G34" s="352">
        <f t="shared" si="5"/>
        <v>3.375</v>
      </c>
      <c r="H34" s="11"/>
    </row>
    <row r="35" spans="1:19">
      <c r="A35" s="1630"/>
      <c r="B35" s="1634"/>
      <c r="C35" s="155" t="s">
        <v>114</v>
      </c>
      <c r="D35" s="334" t="s">
        <v>97</v>
      </c>
      <c r="E35" s="334">
        <v>0.75</v>
      </c>
      <c r="F35" s="334">
        <v>2.98</v>
      </c>
      <c r="G35" s="352">
        <f t="shared" si="5"/>
        <v>2.2349999999999999</v>
      </c>
      <c r="H35" s="11"/>
    </row>
    <row r="36" spans="1:19">
      <c r="A36" s="1630"/>
      <c r="B36" s="1632" t="s">
        <v>13</v>
      </c>
      <c r="C36" s="155" t="s">
        <v>105</v>
      </c>
      <c r="D36" s="334" t="s">
        <v>97</v>
      </c>
      <c r="E36" s="334">
        <v>0.75</v>
      </c>
      <c r="F36" s="334">
        <v>3</v>
      </c>
      <c r="G36" s="352">
        <f t="shared" si="5"/>
        <v>2.25</v>
      </c>
      <c r="H36" s="11"/>
    </row>
    <row r="37" spans="1:19">
      <c r="A37" s="1630"/>
      <c r="B37" s="1633"/>
      <c r="C37" s="146" t="s">
        <v>106</v>
      </c>
      <c r="D37" s="334" t="s">
        <v>97</v>
      </c>
      <c r="E37" s="334">
        <v>0.75</v>
      </c>
      <c r="F37" s="334">
        <v>0.37</v>
      </c>
      <c r="G37" s="352">
        <f t="shared" si="5"/>
        <v>0.27749999999999997</v>
      </c>
      <c r="H37" s="11"/>
    </row>
    <row r="38" spans="1:19" ht="16" thickBot="1">
      <c r="A38" s="1631"/>
      <c r="B38" s="356" t="s">
        <v>76</v>
      </c>
      <c r="C38" s="357" t="s">
        <v>104</v>
      </c>
      <c r="D38" s="354" t="s">
        <v>97</v>
      </c>
      <c r="E38" s="354">
        <v>0.75</v>
      </c>
      <c r="F38" s="354">
        <v>1.37</v>
      </c>
      <c r="G38" s="353">
        <f t="shared" si="5"/>
        <v>1.0275000000000001</v>
      </c>
      <c r="H38" s="51"/>
      <c r="I38" s="51"/>
      <c r="J38" s="51"/>
      <c r="K38" s="51"/>
      <c r="L38" s="51"/>
      <c r="M38" s="51"/>
      <c r="N38" s="51"/>
      <c r="O38" s="51"/>
      <c r="R38"/>
      <c r="S38"/>
    </row>
    <row r="39" spans="1:19">
      <c r="D39" s="51"/>
      <c r="E39" s="51"/>
      <c r="F39" s="51"/>
      <c r="G39" s="51"/>
      <c r="H39" s="51"/>
      <c r="I39" s="51"/>
      <c r="J39" s="51"/>
      <c r="K39" s="51"/>
      <c r="L39" s="51"/>
      <c r="M39" s="51"/>
      <c r="N39" s="51"/>
      <c r="O39" s="51"/>
      <c r="R39"/>
      <c r="S39"/>
    </row>
    <row r="40" spans="1:19">
      <c r="D40" s="51"/>
      <c r="E40" s="51"/>
      <c r="F40" s="51"/>
      <c r="G40" s="51"/>
      <c r="H40" s="51"/>
      <c r="I40" s="51"/>
      <c r="J40" s="51"/>
      <c r="K40" s="51"/>
      <c r="L40" s="51"/>
      <c r="M40" s="51"/>
      <c r="N40" s="51"/>
      <c r="O40" s="51"/>
      <c r="R40"/>
      <c r="S40"/>
    </row>
    <row r="41" spans="1:19">
      <c r="A41" s="1593" t="s">
        <v>292</v>
      </c>
      <c r="B41" s="1591" t="s">
        <v>25</v>
      </c>
      <c r="C41" s="1589" t="s">
        <v>336</v>
      </c>
      <c r="D41" s="51"/>
      <c r="E41" s="51"/>
      <c r="F41" s="51"/>
      <c r="G41" s="51"/>
      <c r="H41" s="51"/>
      <c r="I41" s="51"/>
      <c r="J41" s="51"/>
      <c r="K41" s="51"/>
      <c r="L41" s="51"/>
      <c r="M41" s="51"/>
      <c r="N41" s="51"/>
      <c r="O41" s="51"/>
      <c r="R41"/>
      <c r="S41"/>
    </row>
    <row r="42" spans="1:19">
      <c r="A42" s="1594"/>
      <c r="B42" s="1592"/>
      <c r="C42" s="1590"/>
      <c r="D42" s="51"/>
      <c r="E42" s="51"/>
      <c r="F42" s="51"/>
      <c r="G42" s="51"/>
      <c r="H42" s="51"/>
      <c r="I42" s="51"/>
      <c r="J42" s="51"/>
      <c r="K42" s="51"/>
      <c r="L42" s="51"/>
      <c r="M42" s="51"/>
      <c r="N42" s="51"/>
      <c r="O42" s="51"/>
      <c r="R42"/>
      <c r="S42"/>
    </row>
    <row r="43" spans="1:19">
      <c r="A43" s="117" t="s">
        <v>226</v>
      </c>
      <c r="B43" s="168" t="s">
        <v>24</v>
      </c>
      <c r="C43" s="102" t="s">
        <v>75</v>
      </c>
      <c r="E43" s="51"/>
      <c r="F43" s="51"/>
      <c r="G43" s="51"/>
      <c r="H43" s="51"/>
      <c r="I43" s="51"/>
      <c r="J43" s="51"/>
      <c r="K43" s="51"/>
      <c r="L43" s="51"/>
      <c r="M43" s="51"/>
      <c r="N43" s="51"/>
      <c r="O43" s="51"/>
      <c r="R43"/>
      <c r="S43"/>
    </row>
    <row r="44" spans="1:19">
      <c r="A44" s="1619" t="s">
        <v>35</v>
      </c>
      <c r="B44" s="192" t="s">
        <v>9</v>
      </c>
      <c r="C44" s="139" t="e">
        <f>K16+SUM(G27:G28)</f>
        <v>#REF!</v>
      </c>
      <c r="E44" s="51"/>
      <c r="F44" s="51"/>
      <c r="G44" s="51"/>
      <c r="H44" s="51"/>
      <c r="I44" s="51"/>
      <c r="J44" s="51"/>
      <c r="K44" s="51"/>
      <c r="L44" s="51"/>
      <c r="M44" s="51"/>
      <c r="N44" s="51"/>
      <c r="O44" s="51"/>
      <c r="R44"/>
      <c r="S44"/>
    </row>
    <row r="45" spans="1:19">
      <c r="A45" s="1619"/>
      <c r="B45" s="192" t="s">
        <v>10</v>
      </c>
      <c r="C45" s="139" t="e">
        <f>K17+SUM(G29:G31)</f>
        <v>#REF!</v>
      </c>
      <c r="E45" s="51"/>
      <c r="F45" s="51"/>
      <c r="G45" s="51"/>
      <c r="H45" s="51"/>
      <c r="I45" s="51"/>
      <c r="J45" s="51"/>
      <c r="K45" s="51"/>
      <c r="L45" s="51"/>
      <c r="M45" s="51"/>
      <c r="N45" s="51"/>
      <c r="O45" s="51"/>
      <c r="R45"/>
      <c r="S45"/>
    </row>
    <row r="46" spans="1:19">
      <c r="A46" s="1619"/>
      <c r="B46" s="192" t="s">
        <v>11</v>
      </c>
      <c r="C46" s="139" t="e">
        <f>K18+G32</f>
        <v>#REF!</v>
      </c>
      <c r="E46" s="51"/>
      <c r="F46" s="51"/>
      <c r="G46" s="51"/>
      <c r="H46" s="51"/>
      <c r="I46" s="51"/>
      <c r="J46" s="51"/>
      <c r="K46" s="51"/>
      <c r="L46" s="51"/>
      <c r="M46" s="51"/>
      <c r="N46" s="51"/>
      <c r="O46" s="51"/>
      <c r="R46"/>
      <c r="S46"/>
    </row>
    <row r="47" spans="1:19">
      <c r="A47" s="1619"/>
      <c r="B47" s="193" t="s">
        <v>12</v>
      </c>
      <c r="C47" s="139" t="e">
        <f>K19+SUM(G33:G35)</f>
        <v>#REF!</v>
      </c>
      <c r="D47" s="51"/>
      <c r="E47" s="51"/>
      <c r="F47" s="51"/>
      <c r="G47" s="51"/>
      <c r="H47" s="51"/>
      <c r="I47" s="51"/>
      <c r="J47" s="51"/>
      <c r="K47" s="51"/>
      <c r="L47" s="51"/>
      <c r="M47" s="51"/>
      <c r="N47" s="51"/>
      <c r="O47" s="51"/>
      <c r="R47"/>
      <c r="S47"/>
    </row>
    <row r="48" spans="1:19">
      <c r="A48" s="1619"/>
      <c r="B48" s="192" t="s">
        <v>13</v>
      </c>
      <c r="C48" s="139" t="e">
        <f>K20+SUM(G36:G37)</f>
        <v>#REF!</v>
      </c>
      <c r="R48"/>
      <c r="S48"/>
    </row>
    <row r="49" spans="1:19">
      <c r="A49" s="1619"/>
      <c r="B49" s="192" t="s">
        <v>76</v>
      </c>
      <c r="C49" s="139" t="e">
        <f>K21+G38</f>
        <v>#REF!</v>
      </c>
      <c r="R49"/>
      <c r="S49"/>
    </row>
    <row r="50" spans="1:19">
      <c r="R50"/>
      <c r="S50"/>
    </row>
    <row r="51" spans="1:19">
      <c r="R51"/>
      <c r="S51"/>
    </row>
    <row r="52" spans="1:19">
      <c r="R52"/>
      <c r="S52"/>
    </row>
    <row r="53" spans="1:19">
      <c r="A53" s="150" t="s">
        <v>0</v>
      </c>
      <c r="B53" s="1620" t="str">
        <f>B1</f>
        <v>Calcolo semplificato del fabbisogno di un edificio</v>
      </c>
      <c r="C53" s="1621"/>
      <c r="D53" s="1621"/>
      <c r="E53" s="1622"/>
      <c r="F53" s="1508"/>
      <c r="G53" s="1402" t="str">
        <f>G1</f>
        <v>UNIVERSITA' DEGLI STUDI DI CAGLIARI</v>
      </c>
      <c r="H53" s="1403"/>
      <c r="I53" s="1403"/>
      <c r="J53" s="1403"/>
      <c r="K53" s="1404"/>
      <c r="L53" s="1405" t="s">
        <v>5</v>
      </c>
      <c r="M53" s="1405"/>
      <c r="N53" s="1405" t="s">
        <v>6</v>
      </c>
      <c r="O53" s="1405"/>
      <c r="R53"/>
      <c r="S53"/>
    </row>
    <row r="54" spans="1:19" ht="24">
      <c r="A54" s="47">
        <v>5</v>
      </c>
      <c r="B54" s="1637" t="s">
        <v>263</v>
      </c>
      <c r="C54" s="1638"/>
      <c r="D54" s="1638"/>
      <c r="E54" s="1639"/>
      <c r="F54" s="1509"/>
      <c r="G54" s="1414" t="str">
        <f>G2</f>
        <v>Dipartimento di Ingegneria Civile, Ambientale e Architettura</v>
      </c>
      <c r="H54" s="1415"/>
      <c r="I54" s="1415"/>
      <c r="J54" s="1415"/>
      <c r="K54" s="1416"/>
      <c r="L54" s="1406" t="str">
        <f>'1.Dati'!L2:M2</f>
        <v>Prof. R. RICCIU</v>
      </c>
      <c r="M54" s="1407"/>
      <c r="N54" s="1406"/>
      <c r="O54" s="1407"/>
      <c r="R54"/>
      <c r="S54"/>
    </row>
    <row r="55" spans="1:19">
      <c r="A55" s="48" t="s">
        <v>63</v>
      </c>
      <c r="B55" s="1640"/>
      <c r="C55" s="1641"/>
      <c r="D55" s="1641"/>
      <c r="E55" s="1642"/>
      <c r="F55" s="1510"/>
      <c r="G55" s="1542" t="str">
        <f>'1.Dati'!G3:K3</f>
        <v>LAB. INTEGR. DI PROG. TECN. (TERMOFISICA DELL'EDIFICIO) a.a. 2019/2020</v>
      </c>
      <c r="H55" s="1543"/>
      <c r="I55" s="1543"/>
      <c r="J55" s="1543"/>
      <c r="K55" s="1544"/>
      <c r="L55" s="1357" t="str">
        <f>L3</f>
        <v>Ing. DI PILLA L.</v>
      </c>
      <c r="M55" s="1358"/>
      <c r="N55" s="1357"/>
      <c r="O55" s="1358"/>
      <c r="R55"/>
      <c r="S55"/>
    </row>
    <row r="56" spans="1:19">
      <c r="R56"/>
      <c r="S56"/>
    </row>
    <row r="57" spans="1:19" ht="15" customHeight="1">
      <c r="A57" s="1643" t="s">
        <v>371</v>
      </c>
      <c r="B57" s="1643"/>
      <c r="C57" s="1643"/>
      <c r="D57" s="1643"/>
      <c r="E57" s="1643"/>
      <c r="F57" s="1643"/>
      <c r="G57" s="1643"/>
      <c r="H57" s="1643"/>
      <c r="I57" s="1643"/>
      <c r="J57" s="1643"/>
      <c r="K57" s="1643"/>
      <c r="R57"/>
      <c r="S57"/>
    </row>
    <row r="58" spans="1:19" ht="15" customHeight="1">
      <c r="A58" s="1643"/>
      <c r="B58" s="1643"/>
      <c r="C58" s="1643"/>
      <c r="D58" s="1643"/>
      <c r="E58" s="1643"/>
      <c r="F58" s="1643"/>
      <c r="G58" s="1643"/>
      <c r="H58" s="1643"/>
      <c r="I58" s="1643"/>
      <c r="J58" s="1643"/>
      <c r="K58" s="1643"/>
      <c r="R58"/>
      <c r="S58"/>
    </row>
    <row r="59" spans="1:19" ht="15" customHeight="1">
      <c r="A59" s="1643"/>
      <c r="B59" s="1643"/>
      <c r="C59" s="1643"/>
      <c r="D59" s="1643"/>
      <c r="E59" s="1643"/>
      <c r="F59" s="1643"/>
      <c r="G59" s="1643"/>
      <c r="H59" s="1643"/>
      <c r="I59" s="1643"/>
      <c r="J59" s="1643"/>
      <c r="K59" s="1643"/>
      <c r="R59"/>
      <c r="S59"/>
    </row>
    <row r="60" spans="1:19" ht="15" customHeight="1">
      <c r="A60" s="236"/>
      <c r="B60" s="236"/>
      <c r="C60" s="236"/>
      <c r="D60" s="236"/>
      <c r="E60" s="236"/>
      <c r="F60" s="236"/>
      <c r="G60" s="236"/>
      <c r="H60" s="236"/>
      <c r="I60" s="236"/>
      <c r="J60" s="236"/>
      <c r="K60" s="236"/>
      <c r="R60"/>
      <c r="S60"/>
    </row>
    <row r="61" spans="1:19" ht="15" customHeight="1">
      <c r="A61" s="236"/>
      <c r="B61" s="236"/>
      <c r="C61" s="236"/>
      <c r="D61" s="236"/>
      <c r="E61" s="236"/>
      <c r="F61" s="236"/>
      <c r="G61" s="236"/>
      <c r="H61" s="236"/>
      <c r="I61" s="236"/>
      <c r="J61" s="236"/>
      <c r="K61" s="236"/>
      <c r="R61"/>
      <c r="S61"/>
    </row>
    <row r="62" spans="1:19">
      <c r="A62" s="51"/>
      <c r="B62" s="51"/>
      <c r="C62" s="51"/>
      <c r="D62" s="51"/>
      <c r="E62" s="51"/>
      <c r="F62" s="51"/>
      <c r="G62" s="51"/>
      <c r="H62" s="51"/>
      <c r="I62" s="51"/>
      <c r="J62" s="51"/>
      <c r="K62" s="51"/>
      <c r="L62" s="51"/>
      <c r="M62" s="51"/>
      <c r="N62" s="51"/>
      <c r="O62" s="51"/>
      <c r="R62"/>
      <c r="S62"/>
    </row>
    <row r="63" spans="1:19" ht="17">
      <c r="A63" s="1650" t="s">
        <v>372</v>
      </c>
      <c r="B63" s="237" t="s">
        <v>347</v>
      </c>
      <c r="C63" s="238" t="s">
        <v>348</v>
      </c>
      <c r="D63" s="176" t="s">
        <v>27</v>
      </c>
      <c r="E63" s="176" t="s">
        <v>280</v>
      </c>
      <c r="F63" s="239" t="s">
        <v>352</v>
      </c>
      <c r="G63" s="176" t="s">
        <v>354</v>
      </c>
      <c r="H63" s="239" t="s">
        <v>353</v>
      </c>
      <c r="I63" s="176" t="s">
        <v>355</v>
      </c>
      <c r="J63" s="176" t="s">
        <v>356</v>
      </c>
      <c r="K63" s="176" t="s">
        <v>357</v>
      </c>
      <c r="L63" s="51"/>
      <c r="M63" s="51"/>
      <c r="N63" s="51"/>
      <c r="O63" s="51"/>
      <c r="R63"/>
      <c r="S63"/>
    </row>
    <row r="64" spans="1:19">
      <c r="A64" s="1651"/>
      <c r="B64" s="240" t="s">
        <v>24</v>
      </c>
      <c r="C64" s="241" t="s">
        <v>31</v>
      </c>
      <c r="D64" s="241" t="s">
        <v>349</v>
      </c>
      <c r="E64" s="241" t="s">
        <v>350</v>
      </c>
      <c r="F64" s="241" t="s">
        <v>351</v>
      </c>
      <c r="G64" s="241" t="s">
        <v>351</v>
      </c>
      <c r="H64" s="241" t="s">
        <v>351</v>
      </c>
      <c r="I64" s="241" t="s">
        <v>351</v>
      </c>
      <c r="J64" s="241" t="s">
        <v>75</v>
      </c>
      <c r="K64" s="241" t="s">
        <v>75</v>
      </c>
      <c r="L64" s="51"/>
      <c r="M64" s="51"/>
      <c r="N64" s="51"/>
      <c r="O64" s="51"/>
      <c r="R64"/>
      <c r="S64"/>
    </row>
    <row r="65" spans="1:19">
      <c r="A65" s="1652"/>
      <c r="B65" s="130">
        <v>1</v>
      </c>
      <c r="C65" s="130">
        <v>2.2000000000000002</v>
      </c>
      <c r="D65" s="125" t="e">
        <f>SUM(D16:D21)</f>
        <v>#REF!</v>
      </c>
      <c r="E65" s="125">
        <f>SUM(C16:C21)</f>
        <v>32.659999999999997</v>
      </c>
      <c r="F65" s="125">
        <v>20</v>
      </c>
      <c r="G65" s="125">
        <v>0</v>
      </c>
      <c r="H65" s="125">
        <f>AVERAGE('1.Dati'!$D$30:$O$30)</f>
        <v>17.600000000000001</v>
      </c>
      <c r="I65" s="125">
        <f>MAX('1.Dati'!$D$30:$O$30)-$H$65</f>
        <v>7.8999999999999986</v>
      </c>
      <c r="J65" s="125" t="e">
        <f>$D$65*($B$9/$I$16)*((2/(((1+($C$65/$I$16))^2)+1))^0.5)</f>
        <v>#REF!</v>
      </c>
      <c r="K65" s="125" t="e">
        <f>0.37*$E$65*$B$9*LN(($C$65/$I$16)+1)</f>
        <v>#REF!</v>
      </c>
      <c r="L65" s="51"/>
      <c r="M65" s="51"/>
      <c r="N65" s="51"/>
      <c r="O65" s="51"/>
      <c r="R65"/>
      <c r="S65"/>
    </row>
    <row r="66" spans="1:19">
      <c r="H66" s="51"/>
      <c r="I66" s="51"/>
      <c r="J66" s="51"/>
      <c r="K66" s="51"/>
      <c r="L66" s="51"/>
      <c r="M66" s="51"/>
      <c r="N66" s="51"/>
      <c r="O66" s="51"/>
      <c r="R66"/>
      <c r="S66"/>
    </row>
    <row r="67" spans="1:19">
      <c r="F67" s="234"/>
      <c r="H67" s="51"/>
      <c r="I67" s="51"/>
      <c r="J67" s="51"/>
      <c r="K67" s="51"/>
      <c r="L67" s="51"/>
      <c r="M67" s="51"/>
      <c r="N67" s="51"/>
      <c r="O67" s="51"/>
      <c r="R67"/>
      <c r="S67"/>
    </row>
    <row r="68" spans="1:19">
      <c r="F68" s="235"/>
      <c r="H68" s="51"/>
      <c r="I68" s="51"/>
      <c r="J68" s="51"/>
      <c r="K68" s="51"/>
      <c r="L68" s="51"/>
      <c r="M68" s="51"/>
      <c r="N68" s="51"/>
      <c r="O68" s="51"/>
      <c r="R68"/>
      <c r="S68"/>
    </row>
    <row r="69" spans="1:19" ht="17">
      <c r="A69" s="1646" t="s">
        <v>359</v>
      </c>
      <c r="B69" s="1647"/>
      <c r="C69" s="176" t="s">
        <v>360</v>
      </c>
      <c r="D69" s="176" t="s">
        <v>361</v>
      </c>
      <c r="E69" s="176" t="s">
        <v>362</v>
      </c>
      <c r="F69" s="176" t="s">
        <v>363</v>
      </c>
      <c r="G69" s="176" t="s">
        <v>364</v>
      </c>
      <c r="H69" s="51"/>
      <c r="I69" s="51"/>
      <c r="J69" s="51"/>
      <c r="K69" s="51"/>
      <c r="L69" s="51"/>
      <c r="M69" s="51"/>
      <c r="N69" s="51"/>
      <c r="O69" s="51"/>
      <c r="R69"/>
      <c r="S69"/>
    </row>
    <row r="70" spans="1:19" ht="15" customHeight="1">
      <c r="A70" s="1648"/>
      <c r="B70" s="1649"/>
      <c r="C70" s="242" t="s">
        <v>24</v>
      </c>
      <c r="D70" s="241" t="s">
        <v>351</v>
      </c>
      <c r="E70" s="241" t="s">
        <v>351</v>
      </c>
      <c r="F70" s="168" t="s">
        <v>201</v>
      </c>
      <c r="G70" s="241" t="s">
        <v>75</v>
      </c>
      <c r="H70" s="51"/>
      <c r="I70" s="51"/>
      <c r="J70" s="51"/>
      <c r="K70" s="51"/>
      <c r="L70" s="51"/>
      <c r="M70" s="51"/>
      <c r="N70" s="51"/>
      <c r="O70" s="51"/>
      <c r="R70"/>
      <c r="S70"/>
    </row>
    <row r="71" spans="1:19">
      <c r="A71" s="1644" t="s">
        <v>214</v>
      </c>
      <c r="B71" s="1644"/>
      <c r="C71" s="130">
        <v>11</v>
      </c>
      <c r="D71" s="130">
        <f t="shared" ref="D71:D76" si="6">$F$65-($G$65*COS((2*PI())*((C71-$B$65)/12)))</f>
        <v>20</v>
      </c>
      <c r="E71" s="125">
        <f t="shared" ref="E71:E76" si="7">$H$65-($I$65*COS((2*PI())*((C71-$B$65)/12)))</f>
        <v>13.650000000000002</v>
      </c>
      <c r="F71" s="125" t="e">
        <f t="shared" ref="F71:F76" si="8">(SUM($C$44:$C$49)*($F$65-$H$65))-($J$65*($F$65-D71))+($K$65*($H$65-E71))</f>
        <v>#REF!</v>
      </c>
      <c r="G71" s="125" t="e">
        <f>F71/(D71-E71)</f>
        <v>#REF!</v>
      </c>
      <c r="H71" s="51"/>
      <c r="I71" s="51"/>
      <c r="J71" s="51"/>
      <c r="K71" s="51"/>
      <c r="L71" s="51"/>
      <c r="M71" s="51"/>
      <c r="N71" s="51"/>
      <c r="O71" s="51"/>
      <c r="R71"/>
      <c r="S71"/>
    </row>
    <row r="72" spans="1:19">
      <c r="A72" s="1644" t="s">
        <v>215</v>
      </c>
      <c r="B72" s="1644"/>
      <c r="C72" s="130">
        <v>12</v>
      </c>
      <c r="D72" s="130">
        <f t="shared" si="6"/>
        <v>20</v>
      </c>
      <c r="E72" s="125">
        <f t="shared" si="7"/>
        <v>10.75839931010294</v>
      </c>
      <c r="F72" s="125" t="e">
        <f t="shared" si="8"/>
        <v>#REF!</v>
      </c>
      <c r="G72" s="125" t="e">
        <f t="shared" ref="G72:G76" si="9">F72/(D72-E72)</f>
        <v>#REF!</v>
      </c>
      <c r="H72" s="51"/>
      <c r="I72" s="51"/>
      <c r="J72" s="51"/>
      <c r="K72" s="51"/>
      <c r="L72" s="51"/>
      <c r="M72" s="51"/>
      <c r="N72" s="51"/>
      <c r="O72" s="51"/>
      <c r="R72"/>
      <c r="S72"/>
    </row>
    <row r="73" spans="1:19">
      <c r="A73" s="1644" t="s">
        <v>204</v>
      </c>
      <c r="B73" s="1644"/>
      <c r="C73" s="233" t="s">
        <v>365</v>
      </c>
      <c r="D73" s="130">
        <f t="shared" si="6"/>
        <v>20</v>
      </c>
      <c r="E73" s="125">
        <f t="shared" si="7"/>
        <v>9.7000000000000028</v>
      </c>
      <c r="F73" s="125" t="e">
        <f t="shared" si="8"/>
        <v>#REF!</v>
      </c>
      <c r="G73" s="125" t="e">
        <f t="shared" si="9"/>
        <v>#REF!</v>
      </c>
      <c r="H73" s="51"/>
      <c r="I73" s="51"/>
      <c r="J73" s="51"/>
      <c r="K73" s="51"/>
      <c r="L73" s="51"/>
      <c r="M73" s="51"/>
      <c r="N73" s="51"/>
      <c r="O73" s="51"/>
      <c r="R73"/>
      <c r="S73"/>
    </row>
    <row r="74" spans="1:19">
      <c r="A74" s="1644" t="s">
        <v>205</v>
      </c>
      <c r="B74" s="1644"/>
      <c r="C74" s="233" t="s">
        <v>366</v>
      </c>
      <c r="D74" s="130">
        <f t="shared" si="6"/>
        <v>20</v>
      </c>
      <c r="E74" s="125">
        <f t="shared" si="7"/>
        <v>10.758399310102938</v>
      </c>
      <c r="F74" s="125" t="e">
        <f t="shared" si="8"/>
        <v>#REF!</v>
      </c>
      <c r="G74" s="125" t="e">
        <f t="shared" si="9"/>
        <v>#REF!</v>
      </c>
      <c r="H74" s="51"/>
      <c r="I74" s="51"/>
      <c r="J74" s="51"/>
      <c r="K74" s="51"/>
      <c r="L74" s="51"/>
      <c r="M74" s="51"/>
      <c r="N74" s="51"/>
      <c r="O74" s="51"/>
      <c r="R74"/>
      <c r="S74"/>
    </row>
    <row r="75" spans="1:19">
      <c r="A75" s="1644" t="s">
        <v>206</v>
      </c>
      <c r="B75" s="1644"/>
      <c r="C75" s="233" t="s">
        <v>367</v>
      </c>
      <c r="D75" s="130">
        <f t="shared" si="6"/>
        <v>20</v>
      </c>
      <c r="E75" s="125">
        <f t="shared" si="7"/>
        <v>13.650000000000002</v>
      </c>
      <c r="F75" s="125" t="e">
        <f t="shared" si="8"/>
        <v>#REF!</v>
      </c>
      <c r="G75" s="125" t="e">
        <f t="shared" si="9"/>
        <v>#REF!</v>
      </c>
      <c r="H75" s="51"/>
      <c r="I75" s="51"/>
      <c r="J75" s="51"/>
      <c r="K75" s="51"/>
      <c r="L75" s="51"/>
      <c r="M75" s="51"/>
      <c r="N75" s="51"/>
      <c r="O75" s="51"/>
      <c r="R75"/>
      <c r="S75"/>
    </row>
    <row r="76" spans="1:19">
      <c r="A76" s="1645" t="s">
        <v>207</v>
      </c>
      <c r="B76" s="1645"/>
      <c r="C76" s="233" t="s">
        <v>368</v>
      </c>
      <c r="D76" s="130">
        <f t="shared" si="6"/>
        <v>20</v>
      </c>
      <c r="E76" s="125">
        <f t="shared" si="7"/>
        <v>17.600000000000001</v>
      </c>
      <c r="F76" s="125" t="e">
        <f t="shared" si="8"/>
        <v>#REF!</v>
      </c>
      <c r="G76" s="125" t="e">
        <f t="shared" si="9"/>
        <v>#REF!</v>
      </c>
      <c r="H76" s="51"/>
      <c r="I76" s="51"/>
      <c r="J76" s="51"/>
      <c r="K76" s="51"/>
      <c r="L76" s="51"/>
      <c r="M76" s="51"/>
      <c r="N76" s="51"/>
      <c r="O76" s="51"/>
      <c r="R76"/>
      <c r="S76"/>
    </row>
    <row r="77" spans="1:19">
      <c r="H77" s="51"/>
      <c r="I77" s="51"/>
      <c r="J77" s="51"/>
      <c r="K77" s="51"/>
      <c r="L77" s="51"/>
      <c r="M77" s="51"/>
      <c r="N77" s="51"/>
      <c r="O77" s="51"/>
      <c r="R77"/>
      <c r="S77"/>
    </row>
    <row r="78" spans="1:19">
      <c r="A78" s="11"/>
      <c r="B78" s="126"/>
      <c r="C78" s="138"/>
      <c r="D78" s="138"/>
      <c r="E78" s="11"/>
      <c r="F78" s="11"/>
      <c r="G78" s="11"/>
      <c r="H78" s="51"/>
      <c r="I78" s="51"/>
      <c r="J78" s="51"/>
      <c r="K78" s="51"/>
      <c r="L78" s="51"/>
      <c r="M78" s="51"/>
      <c r="N78" s="51"/>
      <c r="O78" s="51"/>
      <c r="R78"/>
      <c r="S78"/>
    </row>
    <row r="79" spans="1:19">
      <c r="A79" s="11"/>
      <c r="B79" s="126"/>
      <c r="C79" s="138"/>
      <c r="D79" s="138"/>
      <c r="E79" s="11"/>
      <c r="F79" s="11"/>
      <c r="G79" s="11"/>
      <c r="H79" s="51"/>
      <c r="I79" s="51"/>
      <c r="J79" s="51"/>
      <c r="K79" s="51"/>
      <c r="L79" s="51"/>
      <c r="M79" s="51"/>
      <c r="N79" s="51"/>
      <c r="O79" s="51"/>
      <c r="R79"/>
      <c r="S79"/>
    </row>
  </sheetData>
  <mergeCells count="64">
    <mergeCell ref="A74:B74"/>
    <mergeCell ref="A75:B75"/>
    <mergeCell ref="A76:B76"/>
    <mergeCell ref="A69:B70"/>
    <mergeCell ref="A63:A65"/>
    <mergeCell ref="A57:K59"/>
    <mergeCell ref="A71:B71"/>
    <mergeCell ref="A72:B72"/>
    <mergeCell ref="A73:B73"/>
    <mergeCell ref="F53:F55"/>
    <mergeCell ref="G53:K53"/>
    <mergeCell ref="L53:M53"/>
    <mergeCell ref="N53:O53"/>
    <mergeCell ref="B54:E55"/>
    <mergeCell ref="G54:K54"/>
    <mergeCell ref="L54:M54"/>
    <mergeCell ref="N54:O54"/>
    <mergeCell ref="G55:K55"/>
    <mergeCell ref="L55:M55"/>
    <mergeCell ref="N55:O55"/>
    <mergeCell ref="L3:M3"/>
    <mergeCell ref="N3:O3"/>
    <mergeCell ref="A7:A8"/>
    <mergeCell ref="B1:E1"/>
    <mergeCell ref="F1:F3"/>
    <mergeCell ref="G1:K1"/>
    <mergeCell ref="L1:M1"/>
    <mergeCell ref="N1:O1"/>
    <mergeCell ref="B2:E3"/>
    <mergeCell ref="G2:K2"/>
    <mergeCell ref="L2:M2"/>
    <mergeCell ref="N2:O2"/>
    <mergeCell ref="G3:K3"/>
    <mergeCell ref="A5:A6"/>
    <mergeCell ref="B5:B6"/>
    <mergeCell ref="C5:C6"/>
    <mergeCell ref="C41:C42"/>
    <mergeCell ref="F5:H6"/>
    <mergeCell ref="E5:E7"/>
    <mergeCell ref="B12:B13"/>
    <mergeCell ref="C12:C13"/>
    <mergeCell ref="B25:B26"/>
    <mergeCell ref="A44:A49"/>
    <mergeCell ref="B53:E53"/>
    <mergeCell ref="B14:B15"/>
    <mergeCell ref="H12:H13"/>
    <mergeCell ref="A14:A21"/>
    <mergeCell ref="D12:D13"/>
    <mergeCell ref="A25:A26"/>
    <mergeCell ref="C25:C26"/>
    <mergeCell ref="D25:D26"/>
    <mergeCell ref="A27:A38"/>
    <mergeCell ref="B36:B37"/>
    <mergeCell ref="B33:B35"/>
    <mergeCell ref="B27:B28"/>
    <mergeCell ref="B29:B31"/>
    <mergeCell ref="A41:A42"/>
    <mergeCell ref="B41:B42"/>
    <mergeCell ref="K12:K13"/>
    <mergeCell ref="E12:E13"/>
    <mergeCell ref="F12:F13"/>
    <mergeCell ref="G12:G13"/>
    <mergeCell ref="I12:I13"/>
    <mergeCell ref="J12:J13"/>
  </mergeCells>
  <pageMargins left="0.39370078740157483" right="0.39370078740157483" top="0.39370078740157483" bottom="0.39370078740157483" header="0.11811023622047244" footer="0.11811023622047244"/>
  <pageSetup paperSize="9" scale="70" orientation="landscape" horizontalDpi="360" verticalDpi="36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CZ816"/>
  <sheetViews>
    <sheetView topLeftCell="A492" zoomScale="80" zoomScaleNormal="80" zoomScalePageLayoutView="175" workbookViewId="0">
      <selection activeCell="M526" sqref="M526"/>
    </sheetView>
  </sheetViews>
  <sheetFormatPr baseColWidth="10" defaultColWidth="8.83203125" defaultRowHeight="15"/>
  <cols>
    <col min="1" max="1" width="13.33203125" style="20" customWidth="1"/>
    <col min="2" max="2" width="13.33203125" style="560" customWidth="1"/>
    <col min="3" max="16" width="13.33203125" style="20" customWidth="1"/>
    <col min="17" max="17" width="12.6640625" style="20" customWidth="1"/>
    <col min="18" max="19" width="12.6640625" customWidth="1"/>
    <col min="21" max="21" width="10.6640625" customWidth="1"/>
    <col min="22" max="22" width="13.6640625" customWidth="1"/>
    <col min="23" max="23" width="16.83203125" customWidth="1"/>
    <col min="24" max="24" width="13" customWidth="1"/>
    <col min="25" max="25" width="12.6640625" customWidth="1"/>
    <col min="26" max="26" width="15.5" customWidth="1"/>
    <col min="27" max="27" width="14.6640625" customWidth="1"/>
    <col min="28" max="28" width="11.6640625" customWidth="1"/>
    <col min="29" max="29" width="11.5" customWidth="1"/>
    <col min="30" max="30" width="11.33203125" customWidth="1"/>
    <col min="50" max="50" width="9.5" bestFit="1" customWidth="1"/>
  </cols>
  <sheetData>
    <row r="1" spans="1:16" ht="15" customHeight="1">
      <c r="A1" s="150" t="s">
        <v>0</v>
      </c>
      <c r="B1" s="881"/>
      <c r="C1" s="1402" t="s">
        <v>566</v>
      </c>
      <c r="D1" s="1403"/>
      <c r="E1" s="1403"/>
      <c r="F1" s="1404"/>
      <c r="G1" s="1508"/>
      <c r="H1" s="1402" t="s">
        <v>567</v>
      </c>
      <c r="I1" s="1403"/>
      <c r="J1" s="1403"/>
      <c r="K1" s="1403"/>
      <c r="L1" s="1404"/>
      <c r="M1" s="1352" t="s">
        <v>5</v>
      </c>
      <c r="N1" s="1353"/>
      <c r="O1" s="1352" t="s">
        <v>6</v>
      </c>
      <c r="P1" s="1353"/>
    </row>
    <row r="2" spans="1:16" ht="15" customHeight="1">
      <c r="A2" s="47">
        <v>7</v>
      </c>
      <c r="B2" s="882"/>
      <c r="C2" s="1511" t="s">
        <v>550</v>
      </c>
      <c r="D2" s="1512"/>
      <c r="E2" s="1512"/>
      <c r="F2" s="1513"/>
      <c r="G2" s="1509"/>
      <c r="H2" s="1414" t="s">
        <v>568</v>
      </c>
      <c r="I2" s="1415"/>
      <c r="J2" s="1415"/>
      <c r="K2" s="1415"/>
      <c r="L2" s="1416"/>
      <c r="M2" s="1391" t="str">
        <f>'4.Hu'!L63</f>
        <v>Prof. R. RICCIU</v>
      </c>
      <c r="N2" s="1392"/>
      <c r="O2" s="1391" t="str">
        <f>'4.Hu'!N63</f>
        <v>X</v>
      </c>
      <c r="P2" s="1392"/>
    </row>
    <row r="3" spans="1:16" ht="15" customHeight="1">
      <c r="A3" s="48" t="s">
        <v>62</v>
      </c>
      <c r="B3" s="883"/>
      <c r="C3" s="1514" t="s">
        <v>551</v>
      </c>
      <c r="D3" s="1515"/>
      <c r="E3" s="1515"/>
      <c r="F3" s="1516"/>
      <c r="G3" s="1510"/>
      <c r="H3" s="1354" t="s">
        <v>644</v>
      </c>
      <c r="I3" s="1355"/>
      <c r="J3" s="1355"/>
      <c r="K3" s="1355"/>
      <c r="L3" s="1356"/>
      <c r="M3" s="1357" t="s">
        <v>1028</v>
      </c>
      <c r="N3" s="1358"/>
      <c r="O3" s="1352" t="str">
        <f>'4.Hu'!N64</f>
        <v>Y</v>
      </c>
      <c r="P3" s="1353"/>
    </row>
    <row r="5" spans="1:16" ht="16">
      <c r="A5" s="1600" t="s">
        <v>656</v>
      </c>
      <c r="B5" s="1600"/>
      <c r="C5" s="1600"/>
      <c r="D5" s="1600"/>
      <c r="E5" s="1600"/>
      <c r="F5" s="1600"/>
      <c r="G5" s="1600"/>
      <c r="H5" s="1600"/>
      <c r="I5" s="1600"/>
      <c r="J5" s="1600"/>
      <c r="K5" s="1600"/>
      <c r="L5" s="1600"/>
      <c r="M5" s="1600"/>
      <c r="N5" s="1600"/>
      <c r="O5" s="1600"/>
      <c r="P5" s="1600"/>
    </row>
    <row r="7" spans="1:16" ht="15" customHeight="1">
      <c r="A7" s="1704" t="s">
        <v>370</v>
      </c>
      <c r="B7" s="872"/>
      <c r="C7" s="1699" t="s">
        <v>25</v>
      </c>
      <c r="D7" s="1688" t="s">
        <v>300</v>
      </c>
      <c r="E7" s="1688" t="s">
        <v>565</v>
      </c>
      <c r="F7" s="159"/>
      <c r="I7" s="1408" t="s">
        <v>303</v>
      </c>
      <c r="J7" s="1702"/>
      <c r="K7" s="1702"/>
      <c r="L7" s="1409"/>
    </row>
    <row r="8" spans="1:16" ht="15" customHeight="1">
      <c r="A8" s="1705"/>
      <c r="B8" s="873"/>
      <c r="C8" s="1686"/>
      <c r="D8" s="1689"/>
      <c r="E8" s="1689"/>
      <c r="F8" s="159"/>
      <c r="I8" s="1385"/>
      <c r="J8" s="1386"/>
      <c r="K8" s="1386"/>
      <c r="L8" s="1387"/>
    </row>
    <row r="9" spans="1:16" ht="18" customHeight="1">
      <c r="A9" s="1706" t="s">
        <v>201</v>
      </c>
      <c r="B9" s="874"/>
      <c r="C9" s="1700" t="s">
        <v>24</v>
      </c>
      <c r="D9" s="160" t="s">
        <v>298</v>
      </c>
      <c r="E9" s="161" t="s">
        <v>299</v>
      </c>
      <c r="F9" s="20" t="s">
        <v>552</v>
      </c>
      <c r="I9" s="1591" t="s">
        <v>202</v>
      </c>
      <c r="J9" s="101" t="s">
        <v>301</v>
      </c>
      <c r="K9" s="116" t="s">
        <v>216</v>
      </c>
      <c r="L9" s="101" t="s">
        <v>302</v>
      </c>
    </row>
    <row r="10" spans="1:16" ht="15" customHeight="1" thickBot="1">
      <c r="A10" s="1707"/>
      <c r="B10" s="874"/>
      <c r="C10" s="1701"/>
      <c r="D10" s="496" t="s">
        <v>32</v>
      </c>
      <c r="E10" s="92" t="s">
        <v>201</v>
      </c>
      <c r="I10" s="1703"/>
      <c r="J10" s="102" t="s">
        <v>201</v>
      </c>
      <c r="K10" s="358" t="s">
        <v>217</v>
      </c>
      <c r="L10" s="102" t="s">
        <v>218</v>
      </c>
    </row>
    <row r="11" spans="1:16" ht="15" customHeight="1">
      <c r="A11" s="1376" t="s">
        <v>34</v>
      </c>
      <c r="B11" s="1375" t="s">
        <v>809</v>
      </c>
      <c r="C11" s="859" t="s">
        <v>9</v>
      </c>
      <c r="D11" s="545">
        <f>'1.Dati'!$D$9</f>
        <v>14.82</v>
      </c>
      <c r="E11" s="1708">
        <f>((5.294*D71)-(0.01557*(D71^2)))</f>
        <v>425.65233987405276</v>
      </c>
      <c r="G11" s="889"/>
      <c r="I11" s="103" t="s">
        <v>204</v>
      </c>
      <c r="J11" s="497">
        <f>$E$11</f>
        <v>425.65233987405276</v>
      </c>
      <c r="K11" s="372">
        <f>24*31</f>
        <v>744</v>
      </c>
      <c r="L11" s="336">
        <f>(J11*K11)/1000</f>
        <v>316.68534086629529</v>
      </c>
    </row>
    <row r="12" spans="1:16">
      <c r="A12" s="1376"/>
      <c r="B12" s="1375"/>
      <c r="C12" s="855" t="s">
        <v>804</v>
      </c>
      <c r="D12" s="546">
        <f>'1.Dati'!$D$10</f>
        <v>37.56</v>
      </c>
      <c r="E12" s="1709"/>
      <c r="G12" s="889"/>
      <c r="I12" s="103" t="s">
        <v>205</v>
      </c>
      <c r="J12" s="497">
        <f t="shared" ref="J12:J22" si="0">$E$11</f>
        <v>425.65233987405276</v>
      </c>
      <c r="K12" s="373">
        <f>24*29</f>
        <v>696</v>
      </c>
      <c r="L12" s="336">
        <f t="shared" ref="L12:L19" si="1">(J12*K12)/1000</f>
        <v>296.25402855234069</v>
      </c>
    </row>
    <row r="13" spans="1:16">
      <c r="A13" s="1376"/>
      <c r="B13" s="1375"/>
      <c r="C13" s="855" t="s">
        <v>22</v>
      </c>
      <c r="D13" s="546">
        <f>'1.Dati'!$D$17</f>
        <v>4.734</v>
      </c>
      <c r="E13" s="1709"/>
      <c r="G13" s="889"/>
      <c r="I13" s="103" t="s">
        <v>206</v>
      </c>
      <c r="J13" s="497">
        <f t="shared" si="0"/>
        <v>425.65233987405276</v>
      </c>
      <c r="K13" s="373">
        <f>24*31</f>
        <v>744</v>
      </c>
      <c r="L13" s="336">
        <f t="shared" si="1"/>
        <v>316.68534086629529</v>
      </c>
    </row>
    <row r="14" spans="1:16">
      <c r="A14" s="1376"/>
      <c r="B14" s="1375"/>
      <c r="C14" s="855" t="s">
        <v>803</v>
      </c>
      <c r="D14" s="857">
        <f>'1.Dati'!$D$13</f>
        <v>2.38</v>
      </c>
      <c r="E14" s="1709"/>
      <c r="G14" s="889"/>
      <c r="I14" s="103" t="s">
        <v>207</v>
      </c>
      <c r="J14" s="497">
        <f t="shared" si="0"/>
        <v>425.65233987405276</v>
      </c>
      <c r="K14" s="373">
        <f>(24*30)/2</f>
        <v>360</v>
      </c>
      <c r="L14" s="336">
        <f t="shared" si="1"/>
        <v>153.23484235465898</v>
      </c>
    </row>
    <row r="15" spans="1:16">
      <c r="A15" s="1376"/>
      <c r="B15" s="1375"/>
      <c r="C15" s="855" t="s">
        <v>802</v>
      </c>
      <c r="D15" s="546">
        <f>'1.Dati'!$D$16</f>
        <v>15.575000000000001</v>
      </c>
      <c r="E15" s="1709"/>
      <c r="G15" s="889"/>
      <c r="I15" s="103" t="s">
        <v>208</v>
      </c>
      <c r="J15" s="497">
        <f t="shared" si="0"/>
        <v>425.65233987405276</v>
      </c>
      <c r="K15" s="373">
        <v>744</v>
      </c>
      <c r="L15" s="336">
        <f t="shared" si="1"/>
        <v>316.68534086629529</v>
      </c>
    </row>
    <row r="16" spans="1:16">
      <c r="A16" s="1376"/>
      <c r="B16" s="1375"/>
      <c r="C16" s="855" t="s">
        <v>587</v>
      </c>
      <c r="D16" s="546">
        <f>'1.Dati'!$D$12</f>
        <v>5.52</v>
      </c>
      <c r="E16" s="1709"/>
      <c r="G16" s="889"/>
      <c r="I16" s="103" t="s">
        <v>209</v>
      </c>
      <c r="J16" s="497">
        <f t="shared" si="0"/>
        <v>425.65233987405276</v>
      </c>
      <c r="K16" s="373">
        <v>720</v>
      </c>
      <c r="L16" s="336">
        <f t="shared" si="1"/>
        <v>306.46968470931796</v>
      </c>
    </row>
    <row r="17" spans="1:17">
      <c r="A17" s="1376"/>
      <c r="B17" s="1375"/>
      <c r="C17" s="855" t="s">
        <v>20</v>
      </c>
      <c r="D17" s="826">
        <f>'1.Dati'!$D$15</f>
        <v>13.64</v>
      </c>
      <c r="E17" s="1709"/>
      <c r="G17" s="889"/>
      <c r="I17" s="103" t="s">
        <v>210</v>
      </c>
      <c r="J17" s="497">
        <f t="shared" si="0"/>
        <v>425.65233987405276</v>
      </c>
      <c r="K17" s="373">
        <v>744</v>
      </c>
      <c r="L17" s="336">
        <f t="shared" si="1"/>
        <v>316.68534086629529</v>
      </c>
    </row>
    <row r="18" spans="1:17">
      <c r="A18" s="1376"/>
      <c r="B18" s="1375"/>
      <c r="C18" s="855" t="s">
        <v>586</v>
      </c>
      <c r="D18" s="546">
        <f>'1.Dati'!$D$11</f>
        <v>5.9773999999999994</v>
      </c>
      <c r="E18" s="1709"/>
      <c r="G18" s="889"/>
      <c r="I18" s="103" t="s">
        <v>211</v>
      </c>
      <c r="J18" s="497">
        <f t="shared" si="0"/>
        <v>425.65233987405276</v>
      </c>
      <c r="K18" s="373">
        <v>744</v>
      </c>
      <c r="L18" s="336">
        <f t="shared" si="1"/>
        <v>316.68534086629529</v>
      </c>
    </row>
    <row r="19" spans="1:17">
      <c r="A19" s="1376"/>
      <c r="B19" s="1375"/>
      <c r="C19" s="855" t="s">
        <v>19</v>
      </c>
      <c r="D19" s="857">
        <f>'1.Dati'!$D$14</f>
        <v>20.149999999999999</v>
      </c>
      <c r="E19" s="1709"/>
      <c r="G19" s="889"/>
      <c r="I19" s="103" t="s">
        <v>212</v>
      </c>
      <c r="J19" s="497">
        <f t="shared" si="0"/>
        <v>425.65233987405276</v>
      </c>
      <c r="K19" s="373">
        <v>720</v>
      </c>
      <c r="L19" s="336">
        <f t="shared" si="1"/>
        <v>306.46968470931796</v>
      </c>
    </row>
    <row r="20" spans="1:17">
      <c r="A20" s="1376"/>
      <c r="B20" s="1375"/>
      <c r="C20" s="860" t="s">
        <v>588</v>
      </c>
      <c r="D20" s="858">
        <f>'1.Dati'!$D$18</f>
        <v>10.1</v>
      </c>
      <c r="E20" s="1709"/>
      <c r="F20" s="560"/>
      <c r="G20" s="889"/>
      <c r="H20" s="560"/>
      <c r="I20" s="103" t="s">
        <v>213</v>
      </c>
      <c r="J20" s="497">
        <f t="shared" si="0"/>
        <v>425.65233987405276</v>
      </c>
      <c r="K20" s="373">
        <f>(24*31)/2</f>
        <v>372</v>
      </c>
      <c r="L20" s="336">
        <f>(J20*K20)/1000</f>
        <v>158.34267043314765</v>
      </c>
      <c r="M20" s="560"/>
      <c r="N20" s="560"/>
      <c r="O20" s="560"/>
      <c r="P20" s="560"/>
      <c r="Q20" s="560"/>
    </row>
    <row r="21" spans="1:17" ht="15" customHeight="1">
      <c r="A21" s="1376"/>
      <c r="B21" s="1490" t="s">
        <v>810</v>
      </c>
      <c r="C21" s="859" t="s">
        <v>9</v>
      </c>
      <c r="D21" s="856">
        <f>'1.Dati'!$D$9</f>
        <v>14.82</v>
      </c>
      <c r="E21" s="1709"/>
      <c r="G21" s="560"/>
      <c r="I21" s="103" t="s">
        <v>214</v>
      </c>
      <c r="J21" s="497">
        <f t="shared" si="0"/>
        <v>425.65233987405276</v>
      </c>
      <c r="K21" s="373">
        <f>24*30</f>
        <v>720</v>
      </c>
      <c r="L21" s="336">
        <f>(J21*K21)/1000</f>
        <v>306.46968470931796</v>
      </c>
      <c r="O21" s="380"/>
      <c r="P21" s="145"/>
    </row>
    <row r="22" spans="1:17" ht="16" thickBot="1">
      <c r="A22" s="1376"/>
      <c r="B22" s="1490"/>
      <c r="C22" s="855" t="s">
        <v>804</v>
      </c>
      <c r="D22" s="857">
        <f>'1.Dati'!$D$10</f>
        <v>37.56</v>
      </c>
      <c r="E22" s="1709"/>
      <c r="I22" s="103" t="s">
        <v>215</v>
      </c>
      <c r="J22" s="497">
        <f t="shared" si="0"/>
        <v>425.65233987405276</v>
      </c>
      <c r="K22" s="374">
        <f>24*31</f>
        <v>744</v>
      </c>
      <c r="L22" s="336">
        <f>(J22*K22)/1000</f>
        <v>316.68534086629529</v>
      </c>
    </row>
    <row r="23" spans="1:17">
      <c r="A23" s="1376"/>
      <c r="B23" s="1490"/>
      <c r="C23" s="855" t="s">
        <v>22</v>
      </c>
      <c r="D23" s="857">
        <f>'1.Dati'!$D$17</f>
        <v>4.734</v>
      </c>
      <c r="E23" s="1709"/>
      <c r="G23" s="51"/>
    </row>
    <row r="24" spans="1:17">
      <c r="A24" s="1376"/>
      <c r="B24" s="1490"/>
      <c r="C24" s="855" t="s">
        <v>803</v>
      </c>
      <c r="D24" s="857">
        <f>'1.Dati'!$D$13</f>
        <v>2.38</v>
      </c>
      <c r="E24" s="1709"/>
      <c r="K24" s="889"/>
    </row>
    <row r="25" spans="1:17">
      <c r="A25" s="1376"/>
      <c r="B25" s="1490"/>
      <c r="C25" s="855" t="s">
        <v>802</v>
      </c>
      <c r="D25" s="857">
        <f>'1.Dati'!$D$16</f>
        <v>15.575000000000001</v>
      </c>
      <c r="E25" s="1709"/>
      <c r="F25" s="560"/>
      <c r="G25" s="560"/>
      <c r="H25" s="560"/>
      <c r="I25" s="560"/>
      <c r="J25" s="560"/>
      <c r="K25" s="560"/>
      <c r="L25" s="560"/>
      <c r="M25" s="560"/>
      <c r="N25" s="560"/>
      <c r="O25" s="560"/>
      <c r="P25" s="560"/>
      <c r="Q25" s="560"/>
    </row>
    <row r="26" spans="1:17">
      <c r="A26" s="1376"/>
      <c r="B26" s="1490"/>
      <c r="C26" s="855" t="s">
        <v>587</v>
      </c>
      <c r="D26" s="857">
        <f>'1.Dati'!$D$12</f>
        <v>5.52</v>
      </c>
      <c r="E26" s="1709"/>
      <c r="F26" s="560"/>
      <c r="G26" s="560"/>
      <c r="H26" s="560"/>
      <c r="I26" s="560"/>
      <c r="J26" s="560"/>
      <c r="K26" s="560"/>
      <c r="L26" s="560"/>
      <c r="M26" s="560"/>
      <c r="N26" s="560"/>
      <c r="O26" s="560"/>
      <c r="P26" s="560"/>
      <c r="Q26" s="560"/>
    </row>
    <row r="27" spans="1:17">
      <c r="A27" s="1376"/>
      <c r="B27" s="1490"/>
      <c r="C27" s="855" t="s">
        <v>20</v>
      </c>
      <c r="D27" s="857">
        <f>'1.Dati'!$D$15</f>
        <v>13.64</v>
      </c>
      <c r="E27" s="1709"/>
      <c r="F27" s="560"/>
      <c r="G27" s="560"/>
      <c r="H27" s="560"/>
      <c r="I27" s="560"/>
      <c r="J27" s="560"/>
      <c r="K27" s="560"/>
      <c r="L27" s="560"/>
      <c r="M27" s="560"/>
      <c r="N27" s="560"/>
      <c r="O27" s="560"/>
      <c r="P27" s="560"/>
      <c r="Q27" s="560"/>
    </row>
    <row r="28" spans="1:17">
      <c r="A28" s="1376"/>
      <c r="B28" s="1490"/>
      <c r="C28" s="855" t="s">
        <v>586</v>
      </c>
      <c r="D28" s="857">
        <f>'1.Dati'!$D$11</f>
        <v>5.9773999999999994</v>
      </c>
      <c r="E28" s="1709"/>
      <c r="F28" s="560"/>
      <c r="G28" s="560"/>
      <c r="H28" s="560"/>
      <c r="I28" s="560"/>
      <c r="J28" s="560"/>
      <c r="K28" s="560"/>
      <c r="L28" s="560"/>
      <c r="M28" s="560"/>
      <c r="N28" s="560"/>
      <c r="O28" s="560"/>
      <c r="P28" s="560"/>
      <c r="Q28" s="560"/>
    </row>
    <row r="29" spans="1:17">
      <c r="A29" s="1376"/>
      <c r="B29" s="1490"/>
      <c r="C29" s="855" t="s">
        <v>19</v>
      </c>
      <c r="D29" s="857">
        <f>'1.Dati'!$D$14</f>
        <v>20.149999999999999</v>
      </c>
      <c r="E29" s="1709"/>
      <c r="F29" s="560"/>
      <c r="G29" s="560"/>
      <c r="H29" s="560"/>
      <c r="I29" s="560"/>
      <c r="J29" s="560"/>
      <c r="K29" s="560"/>
      <c r="L29" s="560"/>
      <c r="M29" s="560"/>
      <c r="N29" s="560"/>
      <c r="O29" s="560"/>
      <c r="P29" s="560"/>
      <c r="Q29" s="560"/>
    </row>
    <row r="30" spans="1:17">
      <c r="A30" s="1376"/>
      <c r="B30" s="1490"/>
      <c r="C30" s="860" t="s">
        <v>588</v>
      </c>
      <c r="D30" s="858">
        <f>'1.Dati'!$D$18</f>
        <v>10.1</v>
      </c>
      <c r="E30" s="1709"/>
      <c r="F30" s="560"/>
      <c r="G30" s="560"/>
      <c r="H30" s="560"/>
      <c r="I30" s="560"/>
      <c r="J30" s="560"/>
      <c r="K30" s="560"/>
      <c r="L30" s="560"/>
      <c r="M30" s="560"/>
      <c r="N30" s="560"/>
      <c r="O30" s="560"/>
      <c r="P30" s="560"/>
      <c r="Q30" s="560"/>
    </row>
    <row r="31" spans="1:17" ht="15" customHeight="1">
      <c r="A31" s="1377" t="s">
        <v>835</v>
      </c>
      <c r="B31" s="1375" t="s">
        <v>809</v>
      </c>
      <c r="C31" s="859" t="s">
        <v>9</v>
      </c>
      <c r="D31" s="856">
        <f>'1.Dati'!$D$9</f>
        <v>14.82</v>
      </c>
      <c r="E31" s="1709"/>
      <c r="F31" s="560"/>
      <c r="G31" s="560"/>
      <c r="H31" s="560"/>
      <c r="I31" s="560"/>
      <c r="J31" s="560"/>
      <c r="K31" s="560"/>
      <c r="L31" s="560"/>
      <c r="M31" s="560"/>
      <c r="N31" s="560"/>
      <c r="O31" s="560"/>
      <c r="P31" s="560"/>
      <c r="Q31" s="560"/>
    </row>
    <row r="32" spans="1:17">
      <c r="A32" s="1377"/>
      <c r="B32" s="1375"/>
      <c r="C32" s="855" t="s">
        <v>804</v>
      </c>
      <c r="D32" s="857">
        <f>'1.Dati'!$D$10</f>
        <v>37.56</v>
      </c>
      <c r="E32" s="1709"/>
      <c r="F32" s="560"/>
      <c r="G32" s="560"/>
      <c r="H32" s="560"/>
      <c r="I32" s="560"/>
      <c r="J32" s="560"/>
      <c r="K32" s="560"/>
      <c r="L32" s="560"/>
      <c r="M32" s="560"/>
      <c r="N32" s="560"/>
      <c r="O32" s="560"/>
      <c r="P32" s="560"/>
      <c r="Q32" s="560"/>
    </row>
    <row r="33" spans="1:17">
      <c r="A33" s="1377"/>
      <c r="B33" s="1375"/>
      <c r="C33" s="855" t="s">
        <v>22</v>
      </c>
      <c r="D33" s="857">
        <f>'1.Dati'!$D$17</f>
        <v>4.734</v>
      </c>
      <c r="E33" s="1709"/>
      <c r="F33" s="560"/>
      <c r="G33" s="560"/>
      <c r="H33" s="560"/>
      <c r="I33" s="560"/>
      <c r="J33" s="560"/>
      <c r="K33" s="560"/>
      <c r="L33" s="560"/>
      <c r="M33" s="560"/>
      <c r="N33" s="560"/>
      <c r="O33" s="560"/>
      <c r="P33" s="560"/>
      <c r="Q33" s="560"/>
    </row>
    <row r="34" spans="1:17">
      <c r="A34" s="1377"/>
      <c r="B34" s="1375"/>
      <c r="C34" s="855" t="s">
        <v>803</v>
      </c>
      <c r="D34" s="857">
        <f>'1.Dati'!$D$13</f>
        <v>2.38</v>
      </c>
      <c r="E34" s="1709"/>
      <c r="F34" s="560"/>
      <c r="G34" s="560"/>
      <c r="H34" s="560"/>
      <c r="I34" s="560"/>
      <c r="J34" s="560"/>
      <c r="K34" s="560"/>
      <c r="L34" s="560"/>
      <c r="M34" s="560"/>
      <c r="N34" s="560"/>
      <c r="O34" s="560"/>
      <c r="P34" s="560"/>
      <c r="Q34" s="560"/>
    </row>
    <row r="35" spans="1:17">
      <c r="A35" s="1377"/>
      <c r="B35" s="1375"/>
      <c r="C35" s="855" t="s">
        <v>802</v>
      </c>
      <c r="D35" s="857">
        <f>'1.Dati'!$D$16</f>
        <v>15.575000000000001</v>
      </c>
      <c r="E35" s="1709"/>
      <c r="F35" s="560"/>
      <c r="G35" s="560"/>
      <c r="H35" s="560"/>
      <c r="I35" s="560"/>
      <c r="J35" s="560"/>
      <c r="K35" s="560"/>
      <c r="L35" s="560"/>
      <c r="M35" s="560"/>
      <c r="N35" s="560"/>
      <c r="O35" s="560"/>
      <c r="P35" s="560"/>
      <c r="Q35" s="560"/>
    </row>
    <row r="36" spans="1:17">
      <c r="A36" s="1377"/>
      <c r="B36" s="1375"/>
      <c r="C36" s="855" t="s">
        <v>587</v>
      </c>
      <c r="D36" s="857">
        <f>'1.Dati'!$D$12</f>
        <v>5.52</v>
      </c>
      <c r="E36" s="1709"/>
      <c r="F36" s="560"/>
      <c r="G36" s="560"/>
      <c r="H36" s="560"/>
      <c r="I36" s="560"/>
      <c r="J36" s="560"/>
      <c r="K36" s="560"/>
      <c r="L36" s="560"/>
      <c r="M36" s="560"/>
      <c r="N36" s="560"/>
      <c r="O36" s="560"/>
      <c r="P36" s="560"/>
      <c r="Q36" s="560"/>
    </row>
    <row r="37" spans="1:17">
      <c r="A37" s="1377"/>
      <c r="B37" s="1375"/>
      <c r="C37" s="855" t="s">
        <v>20</v>
      </c>
      <c r="D37" s="857">
        <f>'1.Dati'!$D$15</f>
        <v>13.64</v>
      </c>
      <c r="E37" s="1709"/>
      <c r="F37" s="560"/>
      <c r="G37" s="560"/>
      <c r="H37" s="560"/>
      <c r="I37" s="560"/>
      <c r="J37" s="560"/>
      <c r="K37" s="560"/>
      <c r="L37" s="560"/>
      <c r="M37" s="560"/>
      <c r="N37" s="560"/>
      <c r="O37" s="560"/>
      <c r="P37" s="560"/>
      <c r="Q37" s="560"/>
    </row>
    <row r="38" spans="1:17">
      <c r="A38" s="1377"/>
      <c r="B38" s="1375"/>
      <c r="C38" s="855" t="s">
        <v>586</v>
      </c>
      <c r="D38" s="857">
        <f>'1.Dati'!$D$11</f>
        <v>5.9773999999999994</v>
      </c>
      <c r="E38" s="1709"/>
      <c r="F38" s="560"/>
      <c r="G38" s="560"/>
      <c r="H38" s="560"/>
      <c r="I38" s="560"/>
      <c r="J38" s="560"/>
      <c r="K38" s="560"/>
      <c r="L38" s="560"/>
      <c r="M38" s="560"/>
      <c r="N38" s="560"/>
      <c r="O38" s="560"/>
      <c r="P38" s="560"/>
      <c r="Q38" s="560"/>
    </row>
    <row r="39" spans="1:17">
      <c r="A39" s="1377"/>
      <c r="B39" s="1375"/>
      <c r="C39" s="855" t="s">
        <v>19</v>
      </c>
      <c r="D39" s="857">
        <f>'1.Dati'!$D$14</f>
        <v>20.149999999999999</v>
      </c>
      <c r="E39" s="1709"/>
      <c r="F39" s="560"/>
      <c r="G39" s="560"/>
      <c r="H39" s="560"/>
      <c r="I39" s="560"/>
      <c r="J39" s="560"/>
      <c r="K39" s="560"/>
      <c r="L39" s="560"/>
      <c r="M39" s="560"/>
      <c r="N39" s="560"/>
      <c r="O39" s="560"/>
      <c r="P39" s="560"/>
      <c r="Q39" s="560"/>
    </row>
    <row r="40" spans="1:17">
      <c r="A40" s="1377"/>
      <c r="B40" s="1375"/>
      <c r="C40" s="860" t="s">
        <v>588</v>
      </c>
      <c r="D40" s="858">
        <f>'1.Dati'!$D$18</f>
        <v>10.1</v>
      </c>
      <c r="E40" s="1709"/>
      <c r="F40" s="560"/>
      <c r="G40" s="560"/>
      <c r="H40" s="560"/>
      <c r="I40" s="560"/>
      <c r="J40" s="560"/>
      <c r="K40" s="560"/>
      <c r="L40" s="560"/>
      <c r="M40" s="560"/>
      <c r="N40" s="560"/>
      <c r="O40" s="560"/>
      <c r="P40" s="560"/>
      <c r="Q40" s="560"/>
    </row>
    <row r="41" spans="1:17" ht="15" customHeight="1">
      <c r="A41" s="1377"/>
      <c r="B41" s="1490" t="s">
        <v>810</v>
      </c>
      <c r="C41" s="859" t="s">
        <v>9</v>
      </c>
      <c r="D41" s="856">
        <f>'1.Dati'!$D$9</f>
        <v>14.82</v>
      </c>
      <c r="E41" s="1709"/>
      <c r="F41" s="560"/>
      <c r="G41" s="560"/>
      <c r="H41" s="560"/>
      <c r="I41" s="560"/>
      <c r="J41" s="560"/>
      <c r="K41" s="560"/>
      <c r="L41" s="560"/>
      <c r="M41" s="560"/>
      <c r="N41" s="560"/>
      <c r="O41" s="560"/>
      <c r="P41" s="560"/>
      <c r="Q41" s="560"/>
    </row>
    <row r="42" spans="1:17">
      <c r="A42" s="1377"/>
      <c r="B42" s="1490"/>
      <c r="C42" s="855" t="s">
        <v>804</v>
      </c>
      <c r="D42" s="857">
        <f>'1.Dati'!$D$10</f>
        <v>37.56</v>
      </c>
      <c r="E42" s="1709"/>
      <c r="F42" s="560"/>
      <c r="G42" s="560"/>
      <c r="H42" s="560"/>
      <c r="I42" s="560"/>
      <c r="J42" s="560"/>
      <c r="K42" s="560"/>
      <c r="L42" s="560"/>
      <c r="M42" s="560"/>
      <c r="N42" s="560"/>
      <c r="O42" s="560"/>
      <c r="P42" s="560"/>
      <c r="Q42" s="560"/>
    </row>
    <row r="43" spans="1:17">
      <c r="A43" s="1377"/>
      <c r="B43" s="1490"/>
      <c r="C43" s="855" t="s">
        <v>22</v>
      </c>
      <c r="D43" s="857">
        <f>'1.Dati'!$D$17</f>
        <v>4.734</v>
      </c>
      <c r="E43" s="1709"/>
      <c r="F43" s="560"/>
      <c r="G43" s="560"/>
      <c r="H43" s="560"/>
      <c r="I43" s="560"/>
      <c r="J43" s="560"/>
      <c r="K43" s="560"/>
      <c r="L43" s="560"/>
      <c r="M43" s="560"/>
      <c r="N43" s="560"/>
      <c r="O43" s="560"/>
      <c r="P43" s="560"/>
      <c r="Q43" s="560"/>
    </row>
    <row r="44" spans="1:17">
      <c r="A44" s="1377"/>
      <c r="B44" s="1490"/>
      <c r="C44" s="855" t="s">
        <v>803</v>
      </c>
      <c r="D44" s="857">
        <f>'1.Dati'!$D$13</f>
        <v>2.38</v>
      </c>
      <c r="E44" s="1709"/>
      <c r="F44" s="560"/>
      <c r="G44" s="560"/>
      <c r="H44" s="560"/>
      <c r="I44" s="560"/>
      <c r="J44" s="560"/>
      <c r="K44" s="560"/>
      <c r="L44" s="560"/>
      <c r="M44" s="560"/>
      <c r="N44" s="560"/>
      <c r="O44" s="560"/>
      <c r="P44" s="560"/>
      <c r="Q44" s="560"/>
    </row>
    <row r="45" spans="1:17">
      <c r="A45" s="1377"/>
      <c r="B45" s="1490"/>
      <c r="C45" s="855" t="s">
        <v>802</v>
      </c>
      <c r="D45" s="857">
        <f>'1.Dati'!$D$16</f>
        <v>15.575000000000001</v>
      </c>
      <c r="E45" s="1709"/>
      <c r="F45" s="560"/>
      <c r="G45" s="560"/>
      <c r="H45" s="560"/>
      <c r="I45" s="560"/>
      <c r="J45" s="560"/>
      <c r="K45" s="560"/>
      <c r="L45" s="560"/>
      <c r="M45" s="560"/>
      <c r="N45" s="560"/>
      <c r="O45" s="560"/>
      <c r="P45" s="560"/>
      <c r="Q45" s="560"/>
    </row>
    <row r="46" spans="1:17">
      <c r="A46" s="1377"/>
      <c r="B46" s="1490"/>
      <c r="C46" s="855" t="s">
        <v>587</v>
      </c>
      <c r="D46" s="857">
        <f>'1.Dati'!$D$12</f>
        <v>5.52</v>
      </c>
      <c r="E46" s="1709"/>
      <c r="F46" s="560"/>
      <c r="G46" s="560"/>
      <c r="H46" s="560"/>
      <c r="I46" s="560"/>
      <c r="J46" s="560"/>
      <c r="K46" s="560"/>
      <c r="L46" s="560"/>
      <c r="M46" s="560"/>
      <c r="N46" s="560"/>
      <c r="O46" s="560"/>
      <c r="P46" s="560"/>
      <c r="Q46" s="560"/>
    </row>
    <row r="47" spans="1:17">
      <c r="A47" s="1377"/>
      <c r="B47" s="1490"/>
      <c r="C47" s="855" t="s">
        <v>20</v>
      </c>
      <c r="D47" s="857">
        <f>'1.Dati'!$D$15</f>
        <v>13.64</v>
      </c>
      <c r="E47" s="1709"/>
      <c r="F47" s="560"/>
      <c r="G47" s="560"/>
      <c r="H47" s="560"/>
      <c r="I47" s="560"/>
      <c r="J47" s="560"/>
      <c r="K47" s="560"/>
      <c r="L47" s="560"/>
      <c r="M47" s="560"/>
      <c r="N47" s="560"/>
      <c r="O47" s="560"/>
      <c r="P47" s="560"/>
      <c r="Q47" s="560"/>
    </row>
    <row r="48" spans="1:17">
      <c r="A48" s="1377"/>
      <c r="B48" s="1490"/>
      <c r="C48" s="855" t="s">
        <v>586</v>
      </c>
      <c r="D48" s="857">
        <f>'1.Dati'!$D$11</f>
        <v>5.9773999999999994</v>
      </c>
      <c r="E48" s="1709"/>
      <c r="F48" s="560"/>
      <c r="G48" s="560"/>
      <c r="H48" s="560"/>
      <c r="I48" s="560"/>
      <c r="J48" s="560"/>
      <c r="K48" s="560"/>
      <c r="L48" s="560"/>
      <c r="M48" s="560"/>
      <c r="N48" s="560"/>
      <c r="O48" s="560"/>
      <c r="P48" s="560"/>
      <c r="Q48" s="560"/>
    </row>
    <row r="49" spans="1:17">
      <c r="A49" s="1377"/>
      <c r="B49" s="1490"/>
      <c r="C49" s="855" t="s">
        <v>19</v>
      </c>
      <c r="D49" s="857">
        <f>'1.Dati'!$D$14</f>
        <v>20.149999999999999</v>
      </c>
      <c r="E49" s="1709"/>
      <c r="F49" s="560"/>
      <c r="G49" s="560"/>
      <c r="H49" s="560"/>
      <c r="I49" s="560"/>
      <c r="J49" s="560"/>
      <c r="K49" s="560"/>
      <c r="L49" s="560"/>
      <c r="M49" s="560"/>
      <c r="N49" s="560"/>
      <c r="O49" s="560"/>
      <c r="P49" s="560"/>
      <c r="Q49" s="560"/>
    </row>
    <row r="50" spans="1:17">
      <c r="A50" s="1377"/>
      <c r="B50" s="1490"/>
      <c r="C50" s="860" t="s">
        <v>588</v>
      </c>
      <c r="D50" s="858">
        <f>'1.Dati'!$D$18</f>
        <v>10.1</v>
      </c>
      <c r="E50" s="1709"/>
      <c r="F50" s="560"/>
      <c r="G50" s="560"/>
      <c r="H50" s="560"/>
      <c r="I50" s="560"/>
      <c r="J50" s="560"/>
      <c r="K50" s="560"/>
      <c r="L50" s="560"/>
      <c r="M50" s="560"/>
      <c r="N50" s="560"/>
      <c r="O50" s="560"/>
      <c r="P50" s="560"/>
      <c r="Q50" s="560"/>
    </row>
    <row r="51" spans="1:17" ht="15" customHeight="1">
      <c r="A51" s="1377" t="s">
        <v>857</v>
      </c>
      <c r="B51" s="1375" t="s">
        <v>809</v>
      </c>
      <c r="C51" s="859" t="s">
        <v>9</v>
      </c>
      <c r="D51" s="856">
        <f>'1.Dati'!$D$9</f>
        <v>14.82</v>
      </c>
      <c r="E51" s="1709"/>
      <c r="F51" s="560"/>
      <c r="G51" s="560"/>
      <c r="H51" s="560"/>
      <c r="I51" s="560"/>
      <c r="J51" s="560"/>
      <c r="K51" s="560"/>
      <c r="L51" s="560"/>
      <c r="M51" s="560"/>
      <c r="N51" s="560"/>
      <c r="O51" s="560"/>
      <c r="P51" s="560"/>
      <c r="Q51" s="560"/>
    </row>
    <row r="52" spans="1:17">
      <c r="A52" s="1377"/>
      <c r="B52" s="1375"/>
      <c r="C52" s="855" t="s">
        <v>804</v>
      </c>
      <c r="D52" s="857">
        <f>'1.Dati'!$D$10</f>
        <v>37.56</v>
      </c>
      <c r="E52" s="1709"/>
      <c r="F52" s="560"/>
      <c r="G52" s="560"/>
      <c r="H52" s="560"/>
      <c r="I52" s="560"/>
      <c r="J52" s="560"/>
      <c r="K52" s="560"/>
      <c r="L52" s="560"/>
      <c r="M52" s="560"/>
      <c r="N52" s="560"/>
      <c r="O52" s="560"/>
      <c r="P52" s="560"/>
      <c r="Q52" s="560"/>
    </row>
    <row r="53" spans="1:17">
      <c r="A53" s="1377"/>
      <c r="B53" s="1375"/>
      <c r="C53" s="855" t="s">
        <v>22</v>
      </c>
      <c r="D53" s="857">
        <f>'1.Dati'!$D$17</f>
        <v>4.734</v>
      </c>
      <c r="E53" s="1709"/>
      <c r="F53" s="560"/>
      <c r="G53" s="560"/>
      <c r="H53" s="560"/>
      <c r="I53" s="560"/>
      <c r="J53" s="560"/>
      <c r="K53" s="560"/>
      <c r="L53" s="560"/>
      <c r="M53" s="560"/>
      <c r="N53" s="560"/>
      <c r="O53" s="560"/>
      <c r="P53" s="560"/>
      <c r="Q53" s="560"/>
    </row>
    <row r="54" spans="1:17">
      <c r="A54" s="1377"/>
      <c r="B54" s="1375"/>
      <c r="C54" s="855" t="s">
        <v>803</v>
      </c>
      <c r="D54" s="857">
        <f>'1.Dati'!$D$13</f>
        <v>2.38</v>
      </c>
      <c r="E54" s="1709"/>
      <c r="F54" s="560"/>
      <c r="G54" s="560"/>
      <c r="H54" s="560"/>
      <c r="I54" s="560"/>
      <c r="J54" s="560"/>
      <c r="K54" s="560"/>
      <c r="L54" s="560"/>
      <c r="M54" s="560"/>
      <c r="N54" s="560"/>
      <c r="O54" s="560"/>
      <c r="P54" s="560"/>
      <c r="Q54" s="560"/>
    </row>
    <row r="55" spans="1:17">
      <c r="A55" s="1377"/>
      <c r="B55" s="1375"/>
      <c r="C55" s="855" t="s">
        <v>802</v>
      </c>
      <c r="D55" s="857">
        <f>'1.Dati'!$D$16</f>
        <v>15.575000000000001</v>
      </c>
      <c r="E55" s="1709"/>
      <c r="F55" s="560"/>
      <c r="G55" s="560"/>
      <c r="H55" s="560"/>
      <c r="I55" s="560"/>
      <c r="J55" s="560"/>
      <c r="K55" s="560"/>
      <c r="L55" s="560"/>
      <c r="M55" s="560"/>
      <c r="N55" s="560"/>
      <c r="O55" s="560"/>
      <c r="P55" s="560"/>
      <c r="Q55" s="560"/>
    </row>
    <row r="56" spans="1:17">
      <c r="A56" s="1377"/>
      <c r="B56" s="1375"/>
      <c r="C56" s="855" t="s">
        <v>587</v>
      </c>
      <c r="D56" s="857">
        <f>'1.Dati'!$D$12</f>
        <v>5.52</v>
      </c>
      <c r="E56" s="1709"/>
      <c r="F56" s="560"/>
      <c r="G56" s="560"/>
      <c r="H56" s="560"/>
      <c r="I56" s="560"/>
      <c r="J56" s="560"/>
      <c r="K56" s="560"/>
      <c r="L56" s="560"/>
      <c r="M56" s="560"/>
      <c r="N56" s="560"/>
      <c r="O56" s="560"/>
      <c r="P56" s="560"/>
      <c r="Q56" s="560"/>
    </row>
    <row r="57" spans="1:17">
      <c r="A57" s="1377"/>
      <c r="B57" s="1375"/>
      <c r="C57" s="855" t="s">
        <v>20</v>
      </c>
      <c r="D57" s="857">
        <f>'1.Dati'!$D$15</f>
        <v>13.64</v>
      </c>
      <c r="E57" s="1709"/>
      <c r="F57" s="560"/>
      <c r="G57" s="560"/>
      <c r="H57" s="560"/>
      <c r="I57" s="560"/>
      <c r="J57" s="560"/>
      <c r="K57" s="560"/>
      <c r="L57" s="560"/>
      <c r="M57" s="560"/>
      <c r="N57" s="560"/>
      <c r="O57" s="560"/>
      <c r="P57" s="560"/>
      <c r="Q57" s="560"/>
    </row>
    <row r="58" spans="1:17">
      <c r="A58" s="1377"/>
      <c r="B58" s="1375"/>
      <c r="C58" s="855" t="s">
        <v>586</v>
      </c>
      <c r="D58" s="857">
        <f>'1.Dati'!$D$11</f>
        <v>5.9773999999999994</v>
      </c>
      <c r="E58" s="1709"/>
      <c r="F58" s="560"/>
      <c r="G58" s="560"/>
      <c r="H58" s="560"/>
      <c r="I58" s="560"/>
      <c r="J58" s="560"/>
      <c r="K58" s="560"/>
      <c r="L58" s="560"/>
      <c r="M58" s="560"/>
      <c r="N58" s="560"/>
      <c r="O58" s="560"/>
      <c r="P58" s="560"/>
      <c r="Q58" s="560"/>
    </row>
    <row r="59" spans="1:17">
      <c r="A59" s="1377"/>
      <c r="B59" s="1375"/>
      <c r="C59" s="855" t="s">
        <v>19</v>
      </c>
      <c r="D59" s="857">
        <f>'1.Dati'!$D$14</f>
        <v>20.149999999999999</v>
      </c>
      <c r="E59" s="1709"/>
      <c r="F59" s="560"/>
      <c r="G59" s="560"/>
      <c r="H59" s="560"/>
      <c r="I59" s="560"/>
      <c r="J59" s="560"/>
      <c r="K59" s="560"/>
      <c r="L59" s="560"/>
      <c r="M59" s="560"/>
      <c r="N59" s="560"/>
      <c r="O59" s="560"/>
      <c r="P59" s="560"/>
      <c r="Q59" s="560"/>
    </row>
    <row r="60" spans="1:17">
      <c r="A60" s="1377"/>
      <c r="B60" s="1375"/>
      <c r="C60" s="860" t="s">
        <v>588</v>
      </c>
      <c r="D60" s="858">
        <f>'1.Dati'!$D$18</f>
        <v>10.1</v>
      </c>
      <c r="E60" s="1709"/>
      <c r="F60" s="560"/>
      <c r="G60" s="560"/>
      <c r="H60" s="560"/>
      <c r="I60" s="560"/>
      <c r="J60" s="560"/>
      <c r="K60" s="560"/>
      <c r="L60" s="560"/>
      <c r="M60" s="560"/>
      <c r="N60" s="560"/>
      <c r="O60" s="560"/>
      <c r="P60" s="560"/>
      <c r="Q60" s="560"/>
    </row>
    <row r="61" spans="1:17" ht="15" customHeight="1">
      <c r="A61" s="1377"/>
      <c r="B61" s="1490" t="s">
        <v>810</v>
      </c>
      <c r="C61" s="859" t="s">
        <v>9</v>
      </c>
      <c r="D61" s="856">
        <f>'1.Dati'!$D$9</f>
        <v>14.82</v>
      </c>
      <c r="E61" s="1709"/>
      <c r="F61" s="560"/>
      <c r="G61" s="560"/>
      <c r="H61" s="560"/>
      <c r="I61" s="560"/>
      <c r="J61" s="560"/>
      <c r="K61" s="560"/>
      <c r="L61" s="560"/>
      <c r="M61" s="560"/>
      <c r="N61" s="560"/>
      <c r="O61" s="560"/>
      <c r="P61" s="560"/>
      <c r="Q61" s="560"/>
    </row>
    <row r="62" spans="1:17">
      <c r="A62" s="1377"/>
      <c r="B62" s="1490"/>
      <c r="C62" s="855" t="s">
        <v>804</v>
      </c>
      <c r="D62" s="857">
        <f>'1.Dati'!$D$10</f>
        <v>37.56</v>
      </c>
      <c r="E62" s="1709"/>
      <c r="F62" s="560"/>
      <c r="G62" s="560"/>
      <c r="H62" s="560"/>
      <c r="I62" s="560"/>
      <c r="J62" s="560"/>
      <c r="K62" s="560"/>
      <c r="L62" s="560"/>
      <c r="M62" s="560"/>
      <c r="N62" s="560"/>
      <c r="O62" s="560"/>
      <c r="P62" s="560"/>
      <c r="Q62" s="560"/>
    </row>
    <row r="63" spans="1:17">
      <c r="A63" s="1377"/>
      <c r="B63" s="1490"/>
      <c r="C63" s="855" t="s">
        <v>22</v>
      </c>
      <c r="D63" s="857">
        <f>'1.Dati'!$D$17</f>
        <v>4.734</v>
      </c>
      <c r="E63" s="1709"/>
      <c r="F63" s="560"/>
      <c r="G63" s="560"/>
      <c r="H63" s="560"/>
      <c r="I63" s="560"/>
      <c r="J63" s="560"/>
      <c r="K63" s="560"/>
      <c r="L63" s="560"/>
      <c r="M63" s="560"/>
      <c r="N63" s="560"/>
      <c r="O63" s="560"/>
      <c r="P63" s="560"/>
      <c r="Q63" s="560"/>
    </row>
    <row r="64" spans="1:17">
      <c r="A64" s="1377"/>
      <c r="B64" s="1490"/>
      <c r="C64" s="855" t="s">
        <v>803</v>
      </c>
      <c r="D64" s="857">
        <f>'1.Dati'!$D$13</f>
        <v>2.38</v>
      </c>
      <c r="E64" s="1709"/>
      <c r="F64" s="560"/>
      <c r="G64" s="560"/>
      <c r="H64" s="560"/>
      <c r="I64" s="560"/>
      <c r="J64" s="560"/>
      <c r="K64" s="560"/>
      <c r="L64" s="560"/>
      <c r="M64" s="560"/>
      <c r="N64" s="560"/>
      <c r="O64" s="560"/>
      <c r="P64" s="560"/>
      <c r="Q64" s="560"/>
    </row>
    <row r="65" spans="1:17">
      <c r="A65" s="1377"/>
      <c r="B65" s="1490"/>
      <c r="C65" s="855" t="s">
        <v>802</v>
      </c>
      <c r="D65" s="857">
        <f>'1.Dati'!$D$16</f>
        <v>15.575000000000001</v>
      </c>
      <c r="E65" s="1709"/>
      <c r="F65" s="560"/>
      <c r="G65" s="560"/>
      <c r="H65" s="560"/>
      <c r="I65" s="560"/>
      <c r="J65" s="560"/>
      <c r="K65" s="560"/>
      <c r="L65" s="560"/>
      <c r="M65" s="560"/>
      <c r="N65" s="560"/>
      <c r="O65" s="560"/>
      <c r="P65" s="560"/>
      <c r="Q65" s="560"/>
    </row>
    <row r="66" spans="1:17">
      <c r="A66" s="1377"/>
      <c r="B66" s="1490"/>
      <c r="C66" s="855" t="s">
        <v>587</v>
      </c>
      <c r="D66" s="857">
        <f>'1.Dati'!$D$12</f>
        <v>5.52</v>
      </c>
      <c r="E66" s="1709"/>
      <c r="F66" s="560"/>
      <c r="G66" s="560"/>
      <c r="H66" s="560"/>
      <c r="I66" s="560"/>
      <c r="J66" s="560"/>
      <c r="K66" s="560"/>
      <c r="L66" s="560"/>
      <c r="M66" s="560"/>
      <c r="N66" s="560"/>
      <c r="O66" s="560"/>
      <c r="P66" s="560"/>
      <c r="Q66" s="560"/>
    </row>
    <row r="67" spans="1:17">
      <c r="A67" s="1377"/>
      <c r="B67" s="1490"/>
      <c r="C67" s="855" t="s">
        <v>20</v>
      </c>
      <c r="D67" s="857">
        <f>'1.Dati'!$D$15</f>
        <v>13.64</v>
      </c>
      <c r="E67" s="1709"/>
      <c r="F67" s="560"/>
      <c r="G67" s="560"/>
      <c r="H67" s="560"/>
      <c r="I67" s="560"/>
      <c r="J67" s="560"/>
      <c r="K67" s="560"/>
      <c r="L67" s="560"/>
      <c r="M67" s="560"/>
      <c r="N67" s="560"/>
      <c r="O67" s="560"/>
      <c r="P67" s="560"/>
      <c r="Q67" s="560"/>
    </row>
    <row r="68" spans="1:17">
      <c r="A68" s="1377"/>
      <c r="B68" s="1490"/>
      <c r="C68" s="855" t="s">
        <v>586</v>
      </c>
      <c r="D68" s="857">
        <f>'1.Dati'!$D$11</f>
        <v>5.9773999999999994</v>
      </c>
      <c r="E68" s="1709"/>
      <c r="F68" s="560"/>
      <c r="G68" s="560"/>
      <c r="H68" s="560"/>
      <c r="I68" s="560"/>
      <c r="J68" s="560"/>
      <c r="K68" s="560"/>
      <c r="L68" s="560"/>
      <c r="M68" s="560"/>
      <c r="N68" s="560"/>
      <c r="O68" s="560"/>
      <c r="P68" s="560"/>
      <c r="Q68" s="560"/>
    </row>
    <row r="69" spans="1:17">
      <c r="A69" s="1377"/>
      <c r="B69" s="1490"/>
      <c r="C69" s="855" t="s">
        <v>19</v>
      </c>
      <c r="D69" s="857">
        <f>'1.Dati'!$D$14</f>
        <v>20.149999999999999</v>
      </c>
      <c r="E69" s="1709"/>
      <c r="F69" s="560"/>
      <c r="G69" s="560"/>
      <c r="H69" s="560"/>
      <c r="I69" s="560"/>
      <c r="J69" s="560"/>
      <c r="K69" s="560"/>
      <c r="L69" s="560"/>
      <c r="M69" s="560"/>
      <c r="N69" s="560"/>
      <c r="O69" s="560"/>
      <c r="P69" s="560"/>
      <c r="Q69" s="560"/>
    </row>
    <row r="70" spans="1:17">
      <c r="A70" s="1377"/>
      <c r="B70" s="1490"/>
      <c r="C70" s="860" t="s">
        <v>588</v>
      </c>
      <c r="D70" s="858">
        <f>'1.Dati'!$D$18</f>
        <v>10.1</v>
      </c>
      <c r="E70" s="1710"/>
      <c r="F70" s="560"/>
      <c r="G70" s="560"/>
      <c r="H70" s="560"/>
      <c r="I70" s="560"/>
      <c r="J70" s="560"/>
      <c r="K70" s="560"/>
      <c r="L70" s="560"/>
      <c r="M70" s="560"/>
      <c r="N70" s="560"/>
      <c r="O70" s="560"/>
      <c r="P70" s="560"/>
      <c r="Q70" s="560"/>
    </row>
    <row r="71" spans="1:17" ht="16">
      <c r="A71" s="888"/>
      <c r="B71" s="484"/>
      <c r="C71" s="548" t="s">
        <v>304</v>
      </c>
      <c r="D71" s="547">
        <f>SUM(D11:D20)</f>
        <v>130.4564</v>
      </c>
      <c r="E71" s="887"/>
      <c r="F71" s="560"/>
      <c r="G71" s="560"/>
      <c r="H71" s="560"/>
      <c r="I71" s="560"/>
      <c r="J71" s="560"/>
      <c r="K71" s="560"/>
      <c r="L71" s="560"/>
      <c r="M71" s="560"/>
      <c r="N71" s="560"/>
      <c r="O71" s="560"/>
      <c r="P71" s="560"/>
      <c r="Q71" s="560"/>
    </row>
    <row r="72" spans="1:17">
      <c r="A72" s="22"/>
      <c r="B72" s="145"/>
      <c r="C72" s="885"/>
      <c r="D72" s="138"/>
      <c r="E72" s="886"/>
      <c r="F72" s="560"/>
      <c r="G72" s="560"/>
      <c r="H72" s="560"/>
      <c r="I72" s="560"/>
      <c r="J72" s="560"/>
      <c r="K72" s="560"/>
      <c r="L72" s="560"/>
      <c r="M72" s="560"/>
      <c r="N72" s="560"/>
      <c r="O72" s="560"/>
      <c r="P72" s="560"/>
      <c r="Q72" s="560"/>
    </row>
    <row r="73" spans="1:17">
      <c r="A73" s="22"/>
      <c r="B73" s="145"/>
      <c r="C73" s="885"/>
      <c r="D73" s="138"/>
      <c r="E73" s="886"/>
      <c r="F73" s="560"/>
      <c r="G73" s="560"/>
      <c r="H73" s="560"/>
      <c r="I73" s="560"/>
      <c r="J73" s="560"/>
      <c r="K73" s="560"/>
      <c r="L73" s="560"/>
      <c r="M73" s="560"/>
      <c r="N73" s="560"/>
      <c r="O73" s="560"/>
      <c r="P73" s="560"/>
      <c r="Q73" s="560"/>
    </row>
    <row r="74" spans="1:17">
      <c r="A74" s="22"/>
      <c r="B74" s="145"/>
      <c r="C74" s="885"/>
      <c r="D74" s="138"/>
      <c r="E74" s="886"/>
      <c r="F74" s="560"/>
      <c r="G74" s="560"/>
      <c r="H74" s="560"/>
      <c r="I74" s="560"/>
      <c r="J74" s="560"/>
      <c r="K74" s="560"/>
      <c r="L74" s="560"/>
      <c r="M74" s="560"/>
      <c r="N74" s="560"/>
      <c r="O74" s="560"/>
      <c r="P74" s="560"/>
      <c r="Q74" s="560"/>
    </row>
    <row r="75" spans="1:17">
      <c r="A75" s="22"/>
      <c r="B75" s="145"/>
      <c r="C75" s="885"/>
      <c r="D75" s="138"/>
      <c r="E75" s="886"/>
      <c r="F75" s="560"/>
      <c r="G75" s="560"/>
      <c r="H75" s="560"/>
      <c r="I75" s="560"/>
      <c r="J75" s="560"/>
      <c r="K75" s="560"/>
      <c r="L75" s="560"/>
      <c r="M75" s="560"/>
      <c r="N75" s="560"/>
      <c r="O75" s="560"/>
      <c r="P75" s="560"/>
      <c r="Q75" s="560"/>
    </row>
    <row r="76" spans="1:17">
      <c r="A76" s="22"/>
      <c r="B76" s="145"/>
      <c r="C76" s="885"/>
      <c r="D76" s="138"/>
      <c r="E76" s="886"/>
      <c r="F76" s="560"/>
      <c r="G76" s="560"/>
      <c r="H76" s="560"/>
      <c r="I76" s="560"/>
      <c r="J76" s="560"/>
      <c r="K76" s="560"/>
      <c r="L76" s="560"/>
      <c r="M76" s="560"/>
      <c r="N76" s="560"/>
      <c r="O76" s="560"/>
      <c r="P76" s="560"/>
      <c r="Q76" s="560"/>
    </row>
    <row r="77" spans="1:17">
      <c r="A77" s="22"/>
      <c r="B77" s="145"/>
      <c r="C77" s="885"/>
      <c r="D77" s="138"/>
      <c r="E77" s="886"/>
      <c r="F77" s="560"/>
      <c r="G77" s="560"/>
      <c r="H77" s="560"/>
      <c r="I77" s="560"/>
      <c r="J77" s="560"/>
      <c r="K77" s="560"/>
      <c r="L77" s="560"/>
      <c r="M77" s="560"/>
      <c r="N77" s="560"/>
      <c r="O77" s="560"/>
      <c r="P77" s="560"/>
      <c r="Q77" s="560"/>
    </row>
    <row r="78" spans="1:17">
      <c r="A78" s="22"/>
      <c r="B78" s="145"/>
      <c r="C78" s="885"/>
      <c r="D78" s="138"/>
      <c r="E78" s="886"/>
      <c r="F78" s="560"/>
      <c r="G78" s="560"/>
      <c r="H78" s="560"/>
      <c r="I78" s="560"/>
      <c r="J78" s="560"/>
      <c r="K78" s="560"/>
      <c r="L78" s="560"/>
      <c r="M78" s="560"/>
      <c r="N78" s="560"/>
      <c r="O78" s="560"/>
      <c r="P78" s="560"/>
      <c r="Q78" s="560"/>
    </row>
    <row r="79" spans="1:17">
      <c r="A79" s="22"/>
      <c r="B79" s="145"/>
      <c r="C79" s="885"/>
      <c r="D79" s="138"/>
      <c r="E79" s="886"/>
      <c r="F79" s="560"/>
      <c r="G79" s="560"/>
      <c r="H79" s="560"/>
      <c r="I79" s="560"/>
      <c r="J79" s="560"/>
      <c r="K79" s="560"/>
      <c r="L79" s="560"/>
      <c r="M79" s="560"/>
      <c r="N79" s="560"/>
      <c r="O79" s="560"/>
      <c r="P79" s="560"/>
      <c r="Q79" s="560"/>
    </row>
    <row r="80" spans="1:17">
      <c r="A80" s="22"/>
      <c r="B80" s="145"/>
      <c r="C80" s="885"/>
      <c r="D80" s="138"/>
      <c r="E80" s="886"/>
      <c r="F80" s="560"/>
      <c r="G80" s="560"/>
      <c r="H80" s="560"/>
      <c r="I80" s="560"/>
      <c r="J80" s="560"/>
      <c r="K80" s="560"/>
      <c r="L80" s="560"/>
      <c r="M80" s="560"/>
      <c r="N80" s="560"/>
      <c r="O80" s="560"/>
      <c r="P80" s="560"/>
      <c r="Q80" s="560"/>
    </row>
    <row r="81" spans="1:17">
      <c r="A81" s="22"/>
      <c r="B81" s="145"/>
      <c r="C81" s="885"/>
      <c r="D81" s="138"/>
      <c r="E81" s="886"/>
      <c r="F81" s="560"/>
      <c r="G81" s="560"/>
      <c r="H81" s="560"/>
      <c r="I81" s="560"/>
      <c r="J81" s="560"/>
      <c r="K81" s="560"/>
      <c r="L81" s="560"/>
      <c r="M81" s="560"/>
      <c r="N81" s="560"/>
      <c r="O81" s="560"/>
      <c r="P81" s="560"/>
      <c r="Q81" s="560"/>
    </row>
    <row r="82" spans="1:17">
      <c r="A82" s="22"/>
      <c r="B82" s="145"/>
      <c r="C82" s="885"/>
      <c r="D82" s="138"/>
      <c r="E82" s="886"/>
      <c r="F82" s="560"/>
      <c r="G82" s="560"/>
      <c r="H82" s="560"/>
      <c r="I82" s="560"/>
      <c r="J82" s="560"/>
      <c r="K82" s="560"/>
      <c r="L82" s="560"/>
      <c r="M82" s="560"/>
      <c r="N82" s="560"/>
      <c r="O82" s="560"/>
      <c r="P82" s="560"/>
      <c r="Q82" s="560"/>
    </row>
    <row r="83" spans="1:17">
      <c r="A83" s="22"/>
      <c r="B83" s="145"/>
      <c r="C83" s="885"/>
      <c r="D83" s="138"/>
      <c r="E83" s="886"/>
      <c r="F83" s="560"/>
      <c r="G83" s="560"/>
      <c r="H83" s="560"/>
      <c r="I83" s="560"/>
      <c r="J83" s="560"/>
      <c r="K83" s="560"/>
      <c r="L83" s="560"/>
      <c r="M83" s="560"/>
      <c r="N83" s="560"/>
      <c r="O83" s="560"/>
      <c r="P83" s="560"/>
      <c r="Q83" s="560"/>
    </row>
    <row r="84" spans="1:17">
      <c r="A84" s="22"/>
      <c r="B84" s="145"/>
      <c r="C84" s="885"/>
      <c r="D84" s="138"/>
      <c r="E84" s="886"/>
      <c r="F84" s="560"/>
      <c r="G84" s="560"/>
      <c r="H84" s="560"/>
      <c r="I84" s="560"/>
      <c r="J84" s="560"/>
      <c r="K84" s="560"/>
      <c r="L84" s="560"/>
      <c r="M84" s="560"/>
      <c r="N84" s="560"/>
      <c r="O84" s="560"/>
      <c r="P84" s="560"/>
      <c r="Q84" s="560"/>
    </row>
    <row r="85" spans="1:17">
      <c r="A85" s="22"/>
      <c r="B85" s="145"/>
      <c r="C85" s="885"/>
      <c r="D85" s="138"/>
      <c r="E85" s="886"/>
      <c r="F85" s="560"/>
      <c r="G85" s="560"/>
      <c r="H85" s="560"/>
      <c r="I85" s="560"/>
      <c r="J85" s="560"/>
      <c r="K85" s="560"/>
      <c r="L85" s="560"/>
      <c r="M85" s="560"/>
      <c r="N85" s="560"/>
      <c r="O85" s="560"/>
      <c r="P85" s="560"/>
      <c r="Q85" s="560"/>
    </row>
    <row r="86" spans="1:17">
      <c r="A86" s="22"/>
      <c r="B86" s="145"/>
      <c r="C86" s="885"/>
      <c r="D86" s="138"/>
      <c r="E86" s="886"/>
      <c r="F86" s="560"/>
      <c r="G86" s="560"/>
      <c r="H86" s="560"/>
      <c r="I86" s="560"/>
      <c r="J86" s="560"/>
      <c r="K86" s="560"/>
      <c r="L86" s="560"/>
      <c r="M86" s="560"/>
      <c r="N86" s="560"/>
      <c r="O86" s="560"/>
      <c r="P86" s="560"/>
      <c r="Q86" s="560"/>
    </row>
    <row r="87" spans="1:17">
      <c r="A87" s="22"/>
      <c r="B87" s="145"/>
      <c r="C87" s="885"/>
      <c r="D87" s="138"/>
      <c r="E87" s="886"/>
      <c r="F87" s="560"/>
      <c r="G87" s="560"/>
      <c r="H87" s="560"/>
      <c r="I87" s="560"/>
      <c r="J87" s="560"/>
      <c r="K87" s="560"/>
      <c r="L87" s="560"/>
      <c r="M87" s="560"/>
      <c r="N87" s="560"/>
      <c r="O87" s="560"/>
      <c r="P87" s="560"/>
      <c r="Q87" s="560"/>
    </row>
    <row r="88" spans="1:17">
      <c r="A88" s="22"/>
      <c r="B88" s="145"/>
      <c r="C88" s="885"/>
      <c r="D88" s="138"/>
      <c r="E88" s="886"/>
      <c r="F88" s="560"/>
      <c r="G88" s="560"/>
      <c r="H88" s="560"/>
      <c r="I88" s="560"/>
      <c r="J88" s="560"/>
      <c r="K88" s="560"/>
      <c r="L88" s="560"/>
      <c r="M88" s="560"/>
      <c r="N88" s="560"/>
      <c r="O88" s="560"/>
      <c r="P88" s="560"/>
      <c r="Q88" s="560"/>
    </row>
    <row r="89" spans="1:17">
      <c r="A89" s="22"/>
      <c r="B89" s="145"/>
      <c r="C89" s="885"/>
      <c r="D89" s="138"/>
      <c r="E89" s="886"/>
      <c r="F89" s="560"/>
      <c r="G89" s="560"/>
      <c r="H89" s="560"/>
      <c r="I89" s="560"/>
      <c r="J89" s="560"/>
      <c r="P89" s="16"/>
      <c r="Q89" s="16"/>
    </row>
    <row r="90" spans="1:17">
      <c r="A90" s="22"/>
      <c r="B90" s="145"/>
      <c r="C90" s="885"/>
      <c r="D90" s="138"/>
      <c r="E90" s="886"/>
      <c r="K90" s="1717" t="s">
        <v>922</v>
      </c>
      <c r="L90" s="1718"/>
      <c r="M90" s="1718"/>
      <c r="N90" s="1718"/>
      <c r="O90" s="1719"/>
      <c r="P90" s="16"/>
      <c r="Q90" s="16"/>
    </row>
    <row r="91" spans="1:17" ht="15" customHeight="1">
      <c r="A91" s="22"/>
      <c r="B91" s="145"/>
      <c r="C91" s="885"/>
      <c r="D91" s="138"/>
      <c r="E91" s="886"/>
      <c r="I91" s="1408" t="s">
        <v>358</v>
      </c>
      <c r="J91" s="1409"/>
      <c r="K91" s="570" t="s">
        <v>214</v>
      </c>
      <c r="L91" s="570" t="s">
        <v>215</v>
      </c>
      <c r="M91" s="570" t="s">
        <v>204</v>
      </c>
      <c r="N91" s="570" t="s">
        <v>205</v>
      </c>
      <c r="O91" s="570" t="s">
        <v>206</v>
      </c>
      <c r="P91" s="864"/>
      <c r="Q91" s="41"/>
    </row>
    <row r="92" spans="1:17" ht="16">
      <c r="A92" s="22"/>
      <c r="B92" s="145"/>
      <c r="C92" s="885"/>
      <c r="D92" s="138"/>
      <c r="E92" s="886"/>
      <c r="H92" s="97" t="s">
        <v>867</v>
      </c>
      <c r="I92" s="1385" t="s">
        <v>868</v>
      </c>
      <c r="J92" s="1410"/>
      <c r="K92" s="259" t="s">
        <v>421</v>
      </c>
      <c r="L92" s="259" t="s">
        <v>421</v>
      </c>
      <c r="M92" s="259" t="s">
        <v>421</v>
      </c>
      <c r="N92" s="259" t="s">
        <v>421</v>
      </c>
      <c r="O92" s="259" t="s">
        <v>421</v>
      </c>
      <c r="P92" s="864"/>
      <c r="Q92" s="41"/>
    </row>
    <row r="93" spans="1:17">
      <c r="A93" s="22"/>
      <c r="B93" s="145"/>
      <c r="C93" s="885"/>
      <c r="D93" s="138"/>
      <c r="E93" s="886"/>
      <c r="H93" s="1376" t="s">
        <v>34</v>
      </c>
      <c r="I93" s="1375" t="s">
        <v>809</v>
      </c>
      <c r="J93" s="859" t="s">
        <v>9</v>
      </c>
      <c r="K93" s="139">
        <f t="shared" ref="K93:K124" si="2">((($E$11/$D$71)*D11)*$K$21)/1000</f>
        <v>34.8153155183808</v>
      </c>
      <c r="L93" s="139">
        <f t="shared" ref="L93:L124" si="3">((($E$11/$D$71)*D11)*$K$22)/1000</f>
        <v>35.975826035660162</v>
      </c>
      <c r="M93" s="139">
        <f t="shared" ref="M93:M124" si="4">((($E$11/$D$71)*D11)*$K$11)/1000</f>
        <v>35.975826035660162</v>
      </c>
      <c r="N93" s="139">
        <f t="shared" ref="N93:N124" si="5">((($E$11/$D$71)*D11)*$K$12)/1000</f>
        <v>33.654805001101437</v>
      </c>
      <c r="O93" s="567">
        <f t="shared" ref="O93:O124" si="6">((($E$11/$D$71)*D11)*$K$13)/1000</f>
        <v>35.975826035660162</v>
      </c>
      <c r="P93" s="479"/>
      <c r="Q93" s="41"/>
    </row>
    <row r="94" spans="1:17">
      <c r="A94" s="22"/>
      <c r="B94" s="145"/>
      <c r="C94" s="885"/>
      <c r="D94" s="138"/>
      <c r="E94" s="886"/>
      <c r="H94" s="1376"/>
      <c r="I94" s="1375"/>
      <c r="J94" s="855" t="s">
        <v>804</v>
      </c>
      <c r="K94" s="861">
        <f t="shared" si="2"/>
        <v>88.236386698406392</v>
      </c>
      <c r="L94" s="861">
        <f t="shared" si="3"/>
        <v>91.177599588353274</v>
      </c>
      <c r="M94" s="861">
        <f t="shared" si="4"/>
        <v>91.177599588353274</v>
      </c>
      <c r="N94" s="861">
        <f t="shared" si="5"/>
        <v>85.295173808459509</v>
      </c>
      <c r="O94" s="861">
        <f t="shared" si="6"/>
        <v>91.177599588353274</v>
      </c>
      <c r="P94" s="479"/>
      <c r="Q94" s="41"/>
    </row>
    <row r="95" spans="1:17">
      <c r="A95" s="22"/>
      <c r="B95" s="145"/>
      <c r="C95" s="885"/>
      <c r="D95" s="138"/>
      <c r="E95" s="886"/>
      <c r="H95" s="1376"/>
      <c r="I95" s="1375"/>
      <c r="J95" s="855" t="s">
        <v>22</v>
      </c>
      <c r="K95" s="861">
        <f t="shared" si="2"/>
        <v>11.121167588664958</v>
      </c>
      <c r="L95" s="861">
        <f t="shared" si="3"/>
        <v>11.491873174953792</v>
      </c>
      <c r="M95" s="861">
        <f t="shared" si="4"/>
        <v>11.491873174953792</v>
      </c>
      <c r="N95" s="861">
        <f t="shared" si="5"/>
        <v>10.750462002376127</v>
      </c>
      <c r="O95" s="861">
        <f t="shared" si="6"/>
        <v>11.491873174953792</v>
      </c>
      <c r="P95" s="479"/>
      <c r="Q95" s="41"/>
    </row>
    <row r="96" spans="1:17">
      <c r="A96" s="22"/>
      <c r="B96" s="145"/>
      <c r="C96" s="885"/>
      <c r="D96" s="138"/>
      <c r="E96" s="886"/>
      <c r="H96" s="1376"/>
      <c r="I96" s="1375"/>
      <c r="J96" s="855" t="s">
        <v>803</v>
      </c>
      <c r="K96" s="861">
        <f t="shared" si="2"/>
        <v>5.591123544787199</v>
      </c>
      <c r="L96" s="861">
        <f t="shared" si="3"/>
        <v>5.7774943296134387</v>
      </c>
      <c r="M96" s="861">
        <f t="shared" si="4"/>
        <v>5.7774943296134387</v>
      </c>
      <c r="N96" s="861">
        <f t="shared" si="5"/>
        <v>5.4047527599609593</v>
      </c>
      <c r="O96" s="861">
        <f t="shared" si="6"/>
        <v>5.7774943296134387</v>
      </c>
      <c r="P96" s="479"/>
      <c r="Q96" s="41"/>
    </row>
    <row r="97" spans="1:17">
      <c r="A97" s="22"/>
      <c r="B97" s="145"/>
      <c r="C97" s="885"/>
      <c r="D97" s="138"/>
      <c r="E97" s="886"/>
      <c r="H97" s="1376"/>
      <c r="I97" s="1375"/>
      <c r="J97" s="855" t="s">
        <v>802</v>
      </c>
      <c r="K97" s="861">
        <f t="shared" si="2"/>
        <v>36.588970256328004</v>
      </c>
      <c r="L97" s="861">
        <f t="shared" si="3"/>
        <v>37.808602598205603</v>
      </c>
      <c r="M97" s="861">
        <f t="shared" si="4"/>
        <v>37.808602598205603</v>
      </c>
      <c r="N97" s="861">
        <f t="shared" si="5"/>
        <v>35.369337914450398</v>
      </c>
      <c r="O97" s="861">
        <f t="shared" si="6"/>
        <v>37.808602598205603</v>
      </c>
      <c r="P97" s="479"/>
      <c r="Q97" s="41"/>
    </row>
    <row r="98" spans="1:17">
      <c r="A98" s="22"/>
      <c r="B98" s="145"/>
      <c r="C98" s="885"/>
      <c r="D98" s="138"/>
      <c r="E98" s="886"/>
      <c r="H98" s="1376"/>
      <c r="I98" s="1375"/>
      <c r="J98" s="855" t="s">
        <v>587</v>
      </c>
      <c r="K98" s="861">
        <f t="shared" si="2"/>
        <v>12.967647885388796</v>
      </c>
      <c r="L98" s="861">
        <f t="shared" si="3"/>
        <v>13.399902814901758</v>
      </c>
      <c r="M98" s="861">
        <f t="shared" si="4"/>
        <v>13.399902814901758</v>
      </c>
      <c r="N98" s="861">
        <f t="shared" si="5"/>
        <v>12.535392955875837</v>
      </c>
      <c r="O98" s="861">
        <f t="shared" si="6"/>
        <v>13.399902814901758</v>
      </c>
      <c r="P98" s="479"/>
      <c r="Q98" s="41"/>
    </row>
    <row r="99" spans="1:17">
      <c r="A99" s="22"/>
      <c r="B99" s="145"/>
      <c r="C99" s="885"/>
      <c r="D99" s="138"/>
      <c r="E99" s="886"/>
      <c r="H99" s="1376"/>
      <c r="I99" s="1375"/>
      <c r="J99" s="855" t="s">
        <v>20</v>
      </c>
      <c r="K99" s="861">
        <f t="shared" si="2"/>
        <v>32.043245861721601</v>
      </c>
      <c r="L99" s="861">
        <f t="shared" si="3"/>
        <v>33.111354057112315</v>
      </c>
      <c r="M99" s="861">
        <f t="shared" si="4"/>
        <v>33.111354057112315</v>
      </c>
      <c r="N99" s="861">
        <f t="shared" si="5"/>
        <v>30.97513766633088</v>
      </c>
      <c r="O99" s="861">
        <f t="shared" si="6"/>
        <v>33.111354057112315</v>
      </c>
      <c r="P99" s="479"/>
      <c r="Q99" s="41"/>
    </row>
    <row r="100" spans="1:17">
      <c r="A100" s="22"/>
      <c r="B100" s="145"/>
      <c r="C100" s="885"/>
      <c r="D100" s="138"/>
      <c r="E100" s="886"/>
      <c r="F100" s="560"/>
      <c r="G100" s="560"/>
      <c r="H100" s="1376"/>
      <c r="I100" s="1375"/>
      <c r="J100" s="855" t="s">
        <v>586</v>
      </c>
      <c r="K100" s="861">
        <f t="shared" si="2"/>
        <v>14.042177259080251</v>
      </c>
      <c r="L100" s="861">
        <f t="shared" si="3"/>
        <v>14.510249834382929</v>
      </c>
      <c r="M100" s="861">
        <f t="shared" si="4"/>
        <v>14.510249834382929</v>
      </c>
      <c r="N100" s="861">
        <f t="shared" si="5"/>
        <v>13.574104683777577</v>
      </c>
      <c r="O100" s="861">
        <f t="shared" si="6"/>
        <v>14.510249834382929</v>
      </c>
      <c r="P100" s="479"/>
      <c r="Q100" s="41"/>
    </row>
    <row r="101" spans="1:17">
      <c r="A101" s="22"/>
      <c r="B101" s="145"/>
      <c r="C101" s="885"/>
      <c r="D101" s="138"/>
      <c r="E101" s="886"/>
      <c r="F101" s="560"/>
      <c r="G101" s="560"/>
      <c r="H101" s="1376"/>
      <c r="I101" s="1375"/>
      <c r="J101" s="855" t="s">
        <v>19</v>
      </c>
      <c r="K101" s="861">
        <f t="shared" si="2"/>
        <v>47.336613204815997</v>
      </c>
      <c r="L101" s="861">
        <f t="shared" si="3"/>
        <v>48.914500311643195</v>
      </c>
      <c r="M101" s="861">
        <f t="shared" si="4"/>
        <v>48.914500311643195</v>
      </c>
      <c r="N101" s="861">
        <f t="shared" si="5"/>
        <v>45.758726097988792</v>
      </c>
      <c r="O101" s="861">
        <f t="shared" si="6"/>
        <v>48.914500311643195</v>
      </c>
      <c r="P101" s="479"/>
      <c r="Q101" s="41"/>
    </row>
    <row r="102" spans="1:17">
      <c r="A102" s="22"/>
      <c r="B102" s="145"/>
      <c r="C102" s="885"/>
      <c r="D102" s="138"/>
      <c r="E102" s="886"/>
      <c r="F102" s="560"/>
      <c r="G102" s="560"/>
      <c r="H102" s="1376"/>
      <c r="I102" s="1375"/>
      <c r="J102" s="860" t="s">
        <v>588</v>
      </c>
      <c r="K102" s="861">
        <f t="shared" si="2"/>
        <v>23.727036891744</v>
      </c>
      <c r="L102" s="861">
        <f t="shared" si="3"/>
        <v>24.517938121468795</v>
      </c>
      <c r="M102" s="861">
        <f t="shared" si="4"/>
        <v>24.517938121468795</v>
      </c>
      <c r="N102" s="861">
        <f t="shared" si="5"/>
        <v>22.936135662019197</v>
      </c>
      <c r="O102" s="861">
        <f t="shared" si="6"/>
        <v>24.517938121468795</v>
      </c>
      <c r="P102" s="479"/>
      <c r="Q102" s="41"/>
    </row>
    <row r="103" spans="1:17">
      <c r="A103" s="22"/>
      <c r="B103" s="145"/>
      <c r="C103" s="885"/>
      <c r="D103" s="138"/>
      <c r="E103" s="886"/>
      <c r="H103" s="1376"/>
      <c r="I103" s="1490" t="s">
        <v>810</v>
      </c>
      <c r="J103" s="859" t="s">
        <v>9</v>
      </c>
      <c r="K103" s="861">
        <f t="shared" si="2"/>
        <v>34.8153155183808</v>
      </c>
      <c r="L103" s="861">
        <f t="shared" si="3"/>
        <v>35.975826035660162</v>
      </c>
      <c r="M103" s="861">
        <f t="shared" si="4"/>
        <v>35.975826035660162</v>
      </c>
      <c r="N103" s="861">
        <f t="shared" si="5"/>
        <v>33.654805001101437</v>
      </c>
      <c r="O103" s="861">
        <f t="shared" si="6"/>
        <v>35.975826035660162</v>
      </c>
      <c r="P103" s="479"/>
      <c r="Q103" s="41"/>
    </row>
    <row r="104" spans="1:17">
      <c r="A104" s="22"/>
      <c r="B104" s="145"/>
      <c r="C104" s="885"/>
      <c r="D104" s="138"/>
      <c r="E104" s="886"/>
      <c r="F104" s="560"/>
      <c r="G104" s="560"/>
      <c r="H104" s="1376"/>
      <c r="I104" s="1490"/>
      <c r="J104" s="855" t="s">
        <v>804</v>
      </c>
      <c r="K104" s="861">
        <f t="shared" si="2"/>
        <v>88.236386698406392</v>
      </c>
      <c r="L104" s="861">
        <f t="shared" si="3"/>
        <v>91.177599588353274</v>
      </c>
      <c r="M104" s="861">
        <f t="shared" si="4"/>
        <v>91.177599588353274</v>
      </c>
      <c r="N104" s="861">
        <f t="shared" si="5"/>
        <v>85.295173808459509</v>
      </c>
      <c r="O104" s="861">
        <f t="shared" si="6"/>
        <v>91.177599588353274</v>
      </c>
      <c r="P104" s="479"/>
      <c r="Q104" s="41"/>
    </row>
    <row r="105" spans="1:17">
      <c r="A105" s="22"/>
      <c r="B105" s="145"/>
      <c r="C105" s="885"/>
      <c r="D105" s="138"/>
      <c r="E105" s="886"/>
      <c r="F105" s="560"/>
      <c r="G105" s="560"/>
      <c r="H105" s="1376"/>
      <c r="I105" s="1490"/>
      <c r="J105" s="855" t="s">
        <v>22</v>
      </c>
      <c r="K105" s="861">
        <f t="shared" si="2"/>
        <v>11.121167588664958</v>
      </c>
      <c r="L105" s="861">
        <f t="shared" si="3"/>
        <v>11.491873174953792</v>
      </c>
      <c r="M105" s="861">
        <f t="shared" si="4"/>
        <v>11.491873174953792</v>
      </c>
      <c r="N105" s="861">
        <f t="shared" si="5"/>
        <v>10.750462002376127</v>
      </c>
      <c r="O105" s="861">
        <f t="shared" si="6"/>
        <v>11.491873174953792</v>
      </c>
      <c r="P105" s="479"/>
      <c r="Q105" s="41"/>
    </row>
    <row r="106" spans="1:17">
      <c r="A106" s="22"/>
      <c r="B106" s="145"/>
      <c r="C106" s="885"/>
      <c r="D106" s="138"/>
      <c r="E106" s="886"/>
      <c r="F106" s="560"/>
      <c r="G106" s="560"/>
      <c r="H106" s="1376"/>
      <c r="I106" s="1490"/>
      <c r="J106" s="855" t="s">
        <v>803</v>
      </c>
      <c r="K106" s="861">
        <f t="shared" si="2"/>
        <v>5.591123544787199</v>
      </c>
      <c r="L106" s="861">
        <f t="shared" si="3"/>
        <v>5.7774943296134387</v>
      </c>
      <c r="M106" s="861">
        <f t="shared" si="4"/>
        <v>5.7774943296134387</v>
      </c>
      <c r="N106" s="861">
        <f t="shared" si="5"/>
        <v>5.4047527599609593</v>
      </c>
      <c r="O106" s="861">
        <f t="shared" si="6"/>
        <v>5.7774943296134387</v>
      </c>
      <c r="P106" s="479"/>
      <c r="Q106" s="41"/>
    </row>
    <row r="107" spans="1:17">
      <c r="A107" s="22"/>
      <c r="B107" s="145"/>
      <c r="C107" s="885"/>
      <c r="D107" s="138"/>
      <c r="E107" s="886"/>
      <c r="F107" s="560"/>
      <c r="G107" s="560"/>
      <c r="H107" s="1376"/>
      <c r="I107" s="1490"/>
      <c r="J107" s="855" t="s">
        <v>802</v>
      </c>
      <c r="K107" s="861">
        <f t="shared" si="2"/>
        <v>36.588970256328004</v>
      </c>
      <c r="L107" s="861">
        <f t="shared" si="3"/>
        <v>37.808602598205603</v>
      </c>
      <c r="M107" s="861">
        <f t="shared" si="4"/>
        <v>37.808602598205603</v>
      </c>
      <c r="N107" s="861">
        <f t="shared" si="5"/>
        <v>35.369337914450398</v>
      </c>
      <c r="O107" s="861">
        <f t="shared" si="6"/>
        <v>37.808602598205603</v>
      </c>
      <c r="P107" s="479"/>
      <c r="Q107" s="41"/>
    </row>
    <row r="108" spans="1:17">
      <c r="A108" s="22"/>
      <c r="B108" s="145"/>
      <c r="C108" s="885"/>
      <c r="D108" s="138"/>
      <c r="E108" s="886"/>
      <c r="F108" s="560"/>
      <c r="G108" s="560"/>
      <c r="H108" s="1376"/>
      <c r="I108" s="1490"/>
      <c r="J108" s="855" t="s">
        <v>587</v>
      </c>
      <c r="K108" s="861">
        <f t="shared" si="2"/>
        <v>12.967647885388796</v>
      </c>
      <c r="L108" s="861">
        <f t="shared" si="3"/>
        <v>13.399902814901758</v>
      </c>
      <c r="M108" s="861">
        <f t="shared" si="4"/>
        <v>13.399902814901758</v>
      </c>
      <c r="N108" s="861">
        <f t="shared" si="5"/>
        <v>12.535392955875837</v>
      </c>
      <c r="O108" s="861">
        <f t="shared" si="6"/>
        <v>13.399902814901758</v>
      </c>
      <c r="P108" s="479"/>
      <c r="Q108" s="41"/>
    </row>
    <row r="109" spans="1:17">
      <c r="A109" s="22"/>
      <c r="B109" s="145"/>
      <c r="C109" s="885"/>
      <c r="D109" s="138"/>
      <c r="E109" s="886"/>
      <c r="F109" s="560"/>
      <c r="G109" s="560"/>
      <c r="H109" s="1376"/>
      <c r="I109" s="1490"/>
      <c r="J109" s="855" t="s">
        <v>20</v>
      </c>
      <c r="K109" s="861">
        <f t="shared" si="2"/>
        <v>32.043245861721601</v>
      </c>
      <c r="L109" s="861">
        <f t="shared" si="3"/>
        <v>33.111354057112315</v>
      </c>
      <c r="M109" s="861">
        <f t="shared" si="4"/>
        <v>33.111354057112315</v>
      </c>
      <c r="N109" s="861">
        <f t="shared" si="5"/>
        <v>30.97513766633088</v>
      </c>
      <c r="O109" s="861">
        <f t="shared" si="6"/>
        <v>33.111354057112315</v>
      </c>
      <c r="P109" s="479"/>
      <c r="Q109" s="41"/>
    </row>
    <row r="110" spans="1:17">
      <c r="A110" s="22"/>
      <c r="B110" s="145"/>
      <c r="C110" s="885"/>
      <c r="D110" s="138"/>
      <c r="E110" s="886"/>
      <c r="F110" s="560"/>
      <c r="G110" s="560"/>
      <c r="H110" s="1376"/>
      <c r="I110" s="1490"/>
      <c r="J110" s="855" t="s">
        <v>586</v>
      </c>
      <c r="K110" s="861">
        <f t="shared" si="2"/>
        <v>14.042177259080251</v>
      </c>
      <c r="L110" s="861">
        <f t="shared" si="3"/>
        <v>14.510249834382929</v>
      </c>
      <c r="M110" s="861">
        <f t="shared" si="4"/>
        <v>14.510249834382929</v>
      </c>
      <c r="N110" s="861">
        <f t="shared" si="5"/>
        <v>13.574104683777577</v>
      </c>
      <c r="O110" s="861">
        <f t="shared" si="6"/>
        <v>14.510249834382929</v>
      </c>
      <c r="P110" s="479"/>
      <c r="Q110" s="41"/>
    </row>
    <row r="111" spans="1:17">
      <c r="A111" s="22"/>
      <c r="B111" s="145"/>
      <c r="C111" s="885"/>
      <c r="D111" s="138"/>
      <c r="E111" s="886"/>
      <c r="F111" s="560"/>
      <c r="G111" s="560"/>
      <c r="H111" s="1376"/>
      <c r="I111" s="1490"/>
      <c r="J111" s="855" t="s">
        <v>19</v>
      </c>
      <c r="K111" s="861">
        <f t="shared" si="2"/>
        <v>47.336613204815997</v>
      </c>
      <c r="L111" s="861">
        <f t="shared" si="3"/>
        <v>48.914500311643195</v>
      </c>
      <c r="M111" s="861">
        <f t="shared" si="4"/>
        <v>48.914500311643195</v>
      </c>
      <c r="N111" s="861">
        <f t="shared" si="5"/>
        <v>45.758726097988792</v>
      </c>
      <c r="O111" s="861">
        <f t="shared" si="6"/>
        <v>48.914500311643195</v>
      </c>
      <c r="P111" s="479"/>
      <c r="Q111" s="41"/>
    </row>
    <row r="112" spans="1:17">
      <c r="A112" s="22"/>
      <c r="B112" s="145"/>
      <c r="C112" s="885"/>
      <c r="D112" s="138"/>
      <c r="E112" s="886"/>
      <c r="F112" s="560"/>
      <c r="G112" s="560"/>
      <c r="H112" s="1376"/>
      <c r="I112" s="1490"/>
      <c r="J112" s="860" t="s">
        <v>588</v>
      </c>
      <c r="K112" s="861">
        <f t="shared" si="2"/>
        <v>23.727036891744</v>
      </c>
      <c r="L112" s="861">
        <f t="shared" si="3"/>
        <v>24.517938121468795</v>
      </c>
      <c r="M112" s="861">
        <f t="shared" si="4"/>
        <v>24.517938121468795</v>
      </c>
      <c r="N112" s="861">
        <f t="shared" si="5"/>
        <v>22.936135662019197</v>
      </c>
      <c r="O112" s="861">
        <f t="shared" si="6"/>
        <v>24.517938121468795</v>
      </c>
      <c r="P112" s="479"/>
      <c r="Q112" s="41"/>
    </row>
    <row r="113" spans="1:17">
      <c r="A113" s="22"/>
      <c r="B113" s="145"/>
      <c r="C113" s="885"/>
      <c r="D113" s="138"/>
      <c r="E113" s="886"/>
      <c r="F113" s="560"/>
      <c r="G113" s="560"/>
      <c r="H113" s="1377" t="s">
        <v>835</v>
      </c>
      <c r="I113" s="1375" t="s">
        <v>809</v>
      </c>
      <c r="J113" s="859" t="s">
        <v>9</v>
      </c>
      <c r="K113" s="861">
        <f t="shared" si="2"/>
        <v>34.8153155183808</v>
      </c>
      <c r="L113" s="861">
        <f t="shared" si="3"/>
        <v>35.975826035660162</v>
      </c>
      <c r="M113" s="861">
        <f t="shared" si="4"/>
        <v>35.975826035660162</v>
      </c>
      <c r="N113" s="861">
        <f t="shared" si="5"/>
        <v>33.654805001101437</v>
      </c>
      <c r="O113" s="861">
        <f t="shared" si="6"/>
        <v>35.975826035660162</v>
      </c>
      <c r="P113" s="479"/>
      <c r="Q113" s="41"/>
    </row>
    <row r="114" spans="1:17">
      <c r="A114" s="22"/>
      <c r="B114" s="145"/>
      <c r="C114" s="885"/>
      <c r="D114" s="138"/>
      <c r="E114" s="886"/>
      <c r="F114" s="560"/>
      <c r="G114" s="560"/>
      <c r="H114" s="1377"/>
      <c r="I114" s="1375"/>
      <c r="J114" s="855" t="s">
        <v>804</v>
      </c>
      <c r="K114" s="861">
        <f t="shared" si="2"/>
        <v>88.236386698406392</v>
      </c>
      <c r="L114" s="861">
        <f t="shared" si="3"/>
        <v>91.177599588353274</v>
      </c>
      <c r="M114" s="861">
        <f t="shared" si="4"/>
        <v>91.177599588353274</v>
      </c>
      <c r="N114" s="861">
        <f t="shared" si="5"/>
        <v>85.295173808459509</v>
      </c>
      <c r="O114" s="861">
        <f t="shared" si="6"/>
        <v>91.177599588353274</v>
      </c>
      <c r="P114" s="479"/>
      <c r="Q114" s="41"/>
    </row>
    <row r="115" spans="1:17">
      <c r="A115" s="22"/>
      <c r="B115" s="145"/>
      <c r="C115" s="885"/>
      <c r="D115" s="138"/>
      <c r="E115" s="886"/>
      <c r="F115" s="560"/>
      <c r="G115" s="560"/>
      <c r="H115" s="1377"/>
      <c r="I115" s="1375"/>
      <c r="J115" s="855" t="s">
        <v>22</v>
      </c>
      <c r="K115" s="861">
        <f t="shared" si="2"/>
        <v>11.121167588664958</v>
      </c>
      <c r="L115" s="861">
        <f t="shared" si="3"/>
        <v>11.491873174953792</v>
      </c>
      <c r="M115" s="861">
        <f t="shared" si="4"/>
        <v>11.491873174953792</v>
      </c>
      <c r="N115" s="861">
        <f t="shared" si="5"/>
        <v>10.750462002376127</v>
      </c>
      <c r="O115" s="861">
        <f t="shared" si="6"/>
        <v>11.491873174953792</v>
      </c>
      <c r="P115" s="479"/>
      <c r="Q115" s="41"/>
    </row>
    <row r="116" spans="1:17">
      <c r="A116" s="22"/>
      <c r="B116" s="145"/>
      <c r="C116" s="885"/>
      <c r="D116" s="138"/>
      <c r="E116" s="886"/>
      <c r="F116" s="560"/>
      <c r="G116" s="560"/>
      <c r="H116" s="1377"/>
      <c r="I116" s="1375"/>
      <c r="J116" s="855" t="s">
        <v>803</v>
      </c>
      <c r="K116" s="861">
        <f t="shared" si="2"/>
        <v>5.591123544787199</v>
      </c>
      <c r="L116" s="861">
        <f t="shared" si="3"/>
        <v>5.7774943296134387</v>
      </c>
      <c r="M116" s="861">
        <f t="shared" si="4"/>
        <v>5.7774943296134387</v>
      </c>
      <c r="N116" s="861">
        <f t="shared" si="5"/>
        <v>5.4047527599609593</v>
      </c>
      <c r="O116" s="861">
        <f t="shared" si="6"/>
        <v>5.7774943296134387</v>
      </c>
      <c r="P116" s="479"/>
      <c r="Q116" s="41"/>
    </row>
    <row r="117" spans="1:17">
      <c r="A117" s="22"/>
      <c r="B117" s="145"/>
      <c r="C117" s="885"/>
      <c r="D117" s="138"/>
      <c r="E117" s="886"/>
      <c r="F117" s="560"/>
      <c r="G117" s="560"/>
      <c r="H117" s="1377"/>
      <c r="I117" s="1375"/>
      <c r="J117" s="855" t="s">
        <v>802</v>
      </c>
      <c r="K117" s="861">
        <f t="shared" si="2"/>
        <v>36.588970256328004</v>
      </c>
      <c r="L117" s="861">
        <f t="shared" si="3"/>
        <v>37.808602598205603</v>
      </c>
      <c r="M117" s="861">
        <f t="shared" si="4"/>
        <v>37.808602598205603</v>
      </c>
      <c r="N117" s="861">
        <f t="shared" si="5"/>
        <v>35.369337914450398</v>
      </c>
      <c r="O117" s="861">
        <f t="shared" si="6"/>
        <v>37.808602598205603</v>
      </c>
      <c r="P117" s="479"/>
      <c r="Q117" s="41"/>
    </row>
    <row r="118" spans="1:17">
      <c r="A118" s="22"/>
      <c r="B118" s="145"/>
      <c r="C118" s="885"/>
      <c r="D118" s="138"/>
      <c r="E118" s="886"/>
      <c r="F118" s="560"/>
      <c r="G118" s="560"/>
      <c r="H118" s="1377"/>
      <c r="I118" s="1375"/>
      <c r="J118" s="855" t="s">
        <v>587</v>
      </c>
      <c r="K118" s="861">
        <f t="shared" si="2"/>
        <v>12.967647885388796</v>
      </c>
      <c r="L118" s="861">
        <f t="shared" si="3"/>
        <v>13.399902814901758</v>
      </c>
      <c r="M118" s="861">
        <f t="shared" si="4"/>
        <v>13.399902814901758</v>
      </c>
      <c r="N118" s="861">
        <f t="shared" si="5"/>
        <v>12.535392955875837</v>
      </c>
      <c r="O118" s="861">
        <f t="shared" si="6"/>
        <v>13.399902814901758</v>
      </c>
      <c r="P118" s="479"/>
      <c r="Q118" s="41"/>
    </row>
    <row r="119" spans="1:17">
      <c r="A119" s="22"/>
      <c r="B119" s="145"/>
      <c r="C119" s="885"/>
      <c r="D119" s="138"/>
      <c r="E119" s="886"/>
      <c r="F119" s="560"/>
      <c r="G119" s="560"/>
      <c r="H119" s="1377"/>
      <c r="I119" s="1375"/>
      <c r="J119" s="855" t="s">
        <v>20</v>
      </c>
      <c r="K119" s="861">
        <f t="shared" si="2"/>
        <v>32.043245861721601</v>
      </c>
      <c r="L119" s="861">
        <f t="shared" si="3"/>
        <v>33.111354057112315</v>
      </c>
      <c r="M119" s="861">
        <f t="shared" si="4"/>
        <v>33.111354057112315</v>
      </c>
      <c r="N119" s="861">
        <f t="shared" si="5"/>
        <v>30.97513766633088</v>
      </c>
      <c r="O119" s="861">
        <f t="shared" si="6"/>
        <v>33.111354057112315</v>
      </c>
      <c r="P119" s="479"/>
      <c r="Q119" s="41"/>
    </row>
    <row r="120" spans="1:17">
      <c r="H120" s="1377"/>
      <c r="I120" s="1375"/>
      <c r="J120" s="855" t="s">
        <v>586</v>
      </c>
      <c r="K120" s="861">
        <f t="shared" si="2"/>
        <v>14.042177259080251</v>
      </c>
      <c r="L120" s="861">
        <f t="shared" si="3"/>
        <v>14.510249834382929</v>
      </c>
      <c r="M120" s="861">
        <f t="shared" si="4"/>
        <v>14.510249834382929</v>
      </c>
      <c r="N120" s="861">
        <f t="shared" si="5"/>
        <v>13.574104683777577</v>
      </c>
      <c r="O120" s="861">
        <f t="shared" si="6"/>
        <v>14.510249834382929</v>
      </c>
      <c r="P120" s="479"/>
      <c r="Q120" s="41"/>
    </row>
    <row r="121" spans="1:17">
      <c r="H121" s="1377"/>
      <c r="I121" s="1375"/>
      <c r="J121" s="855" t="s">
        <v>19</v>
      </c>
      <c r="K121" s="861">
        <f t="shared" si="2"/>
        <v>47.336613204815997</v>
      </c>
      <c r="L121" s="861">
        <f t="shared" si="3"/>
        <v>48.914500311643195</v>
      </c>
      <c r="M121" s="861">
        <f t="shared" si="4"/>
        <v>48.914500311643195</v>
      </c>
      <c r="N121" s="861">
        <f t="shared" si="5"/>
        <v>45.758726097988792</v>
      </c>
      <c r="O121" s="861">
        <f t="shared" si="6"/>
        <v>48.914500311643195</v>
      </c>
      <c r="P121" s="479"/>
      <c r="Q121" s="41"/>
    </row>
    <row r="122" spans="1:17">
      <c r="H122" s="1377"/>
      <c r="I122" s="1375"/>
      <c r="J122" s="860" t="s">
        <v>588</v>
      </c>
      <c r="K122" s="861">
        <f t="shared" si="2"/>
        <v>23.727036891744</v>
      </c>
      <c r="L122" s="861">
        <f t="shared" si="3"/>
        <v>24.517938121468795</v>
      </c>
      <c r="M122" s="861">
        <f t="shared" si="4"/>
        <v>24.517938121468795</v>
      </c>
      <c r="N122" s="861">
        <f t="shared" si="5"/>
        <v>22.936135662019197</v>
      </c>
      <c r="O122" s="861">
        <f t="shared" si="6"/>
        <v>24.517938121468795</v>
      </c>
      <c r="P122" s="479"/>
      <c r="Q122" s="41"/>
    </row>
    <row r="123" spans="1:17">
      <c r="H123" s="1377"/>
      <c r="I123" s="1490" t="s">
        <v>810</v>
      </c>
      <c r="J123" s="859" t="s">
        <v>9</v>
      </c>
      <c r="K123" s="861">
        <f t="shared" si="2"/>
        <v>34.8153155183808</v>
      </c>
      <c r="L123" s="861">
        <f t="shared" si="3"/>
        <v>35.975826035660162</v>
      </c>
      <c r="M123" s="861">
        <f t="shared" si="4"/>
        <v>35.975826035660162</v>
      </c>
      <c r="N123" s="861">
        <f t="shared" si="5"/>
        <v>33.654805001101437</v>
      </c>
      <c r="O123" s="861">
        <f t="shared" si="6"/>
        <v>35.975826035660162</v>
      </c>
      <c r="P123" s="479"/>
      <c r="Q123" s="41"/>
    </row>
    <row r="124" spans="1:17">
      <c r="H124" s="1377"/>
      <c r="I124" s="1490"/>
      <c r="J124" s="855" t="s">
        <v>804</v>
      </c>
      <c r="K124" s="861">
        <f t="shared" si="2"/>
        <v>88.236386698406392</v>
      </c>
      <c r="L124" s="861">
        <f t="shared" si="3"/>
        <v>91.177599588353274</v>
      </c>
      <c r="M124" s="861">
        <f t="shared" si="4"/>
        <v>91.177599588353274</v>
      </c>
      <c r="N124" s="861">
        <f t="shared" si="5"/>
        <v>85.295173808459509</v>
      </c>
      <c r="O124" s="861">
        <f t="shared" si="6"/>
        <v>91.177599588353274</v>
      </c>
      <c r="P124" s="479"/>
      <c r="Q124" s="41"/>
    </row>
    <row r="125" spans="1:17">
      <c r="H125" s="1377"/>
      <c r="I125" s="1490"/>
      <c r="J125" s="855" t="s">
        <v>22</v>
      </c>
      <c r="K125" s="861">
        <f t="shared" ref="K125:K153" si="7">((($E$11/$D$71)*D43)*$K$21)/1000</f>
        <v>11.121167588664958</v>
      </c>
      <c r="L125" s="861">
        <f t="shared" ref="L125:L153" si="8">((($E$11/$D$71)*D43)*$K$22)/1000</f>
        <v>11.491873174953792</v>
      </c>
      <c r="M125" s="861">
        <f t="shared" ref="M125:M153" si="9">((($E$11/$D$71)*D43)*$K$11)/1000</f>
        <v>11.491873174953792</v>
      </c>
      <c r="N125" s="861">
        <f t="shared" ref="N125:N153" si="10">((($E$11/$D$71)*D43)*$K$12)/1000</f>
        <v>10.750462002376127</v>
      </c>
      <c r="O125" s="861">
        <f t="shared" ref="O125:O153" si="11">((($E$11/$D$71)*D43)*$K$13)/1000</f>
        <v>11.491873174953792</v>
      </c>
      <c r="P125" s="479"/>
      <c r="Q125" s="41"/>
    </row>
    <row r="126" spans="1:17">
      <c r="H126" s="1377"/>
      <c r="I126" s="1490"/>
      <c r="J126" s="855" t="s">
        <v>803</v>
      </c>
      <c r="K126" s="861">
        <f t="shared" si="7"/>
        <v>5.591123544787199</v>
      </c>
      <c r="L126" s="861">
        <f t="shared" si="8"/>
        <v>5.7774943296134387</v>
      </c>
      <c r="M126" s="861">
        <f t="shared" si="9"/>
        <v>5.7774943296134387</v>
      </c>
      <c r="N126" s="861">
        <f t="shared" si="10"/>
        <v>5.4047527599609593</v>
      </c>
      <c r="O126" s="861">
        <f t="shared" si="11"/>
        <v>5.7774943296134387</v>
      </c>
      <c r="P126" s="479"/>
      <c r="Q126" s="41"/>
    </row>
    <row r="127" spans="1:17">
      <c r="A127" s="560"/>
      <c r="C127" s="560"/>
      <c r="D127" s="560"/>
      <c r="E127" s="560"/>
      <c r="F127" s="560"/>
      <c r="G127" s="560"/>
      <c r="H127" s="1377"/>
      <c r="I127" s="1490"/>
      <c r="J127" s="855" t="s">
        <v>802</v>
      </c>
      <c r="K127" s="861">
        <f t="shared" si="7"/>
        <v>36.588970256328004</v>
      </c>
      <c r="L127" s="861">
        <f t="shared" si="8"/>
        <v>37.808602598205603</v>
      </c>
      <c r="M127" s="861">
        <f t="shared" si="9"/>
        <v>37.808602598205603</v>
      </c>
      <c r="N127" s="861">
        <f t="shared" si="10"/>
        <v>35.369337914450398</v>
      </c>
      <c r="O127" s="861">
        <f t="shared" si="11"/>
        <v>37.808602598205603</v>
      </c>
      <c r="P127" s="479"/>
      <c r="Q127" s="41"/>
    </row>
    <row r="128" spans="1:17">
      <c r="A128" s="560"/>
      <c r="C128" s="560"/>
      <c r="D128" s="560"/>
      <c r="E128" s="560"/>
      <c r="F128" s="560"/>
      <c r="G128" s="560"/>
      <c r="H128" s="1377"/>
      <c r="I128" s="1490"/>
      <c r="J128" s="855" t="s">
        <v>587</v>
      </c>
      <c r="K128" s="861">
        <f t="shared" si="7"/>
        <v>12.967647885388796</v>
      </c>
      <c r="L128" s="861">
        <f t="shared" si="8"/>
        <v>13.399902814901758</v>
      </c>
      <c r="M128" s="861">
        <f t="shared" si="9"/>
        <v>13.399902814901758</v>
      </c>
      <c r="N128" s="861">
        <f t="shared" si="10"/>
        <v>12.535392955875837</v>
      </c>
      <c r="O128" s="861">
        <f t="shared" si="11"/>
        <v>13.399902814901758</v>
      </c>
      <c r="P128" s="479"/>
      <c r="Q128" s="41"/>
    </row>
    <row r="129" spans="1:17">
      <c r="A129" s="560"/>
      <c r="C129" s="560"/>
      <c r="D129" s="560"/>
      <c r="E129" s="560"/>
      <c r="F129" s="560"/>
      <c r="G129" s="560"/>
      <c r="H129" s="1377"/>
      <c r="I129" s="1490"/>
      <c r="J129" s="855" t="s">
        <v>20</v>
      </c>
      <c r="K129" s="861">
        <f t="shared" si="7"/>
        <v>32.043245861721601</v>
      </c>
      <c r="L129" s="861">
        <f t="shared" si="8"/>
        <v>33.111354057112315</v>
      </c>
      <c r="M129" s="861">
        <f t="shared" si="9"/>
        <v>33.111354057112315</v>
      </c>
      <c r="N129" s="861">
        <f t="shared" si="10"/>
        <v>30.97513766633088</v>
      </c>
      <c r="O129" s="861">
        <f t="shared" si="11"/>
        <v>33.111354057112315</v>
      </c>
      <c r="P129" s="479"/>
      <c r="Q129" s="41"/>
    </row>
    <row r="130" spans="1:17">
      <c r="A130" s="560"/>
      <c r="C130" s="560"/>
      <c r="D130" s="560"/>
      <c r="E130" s="560"/>
      <c r="F130" s="560"/>
      <c r="G130" s="560"/>
      <c r="H130" s="1377"/>
      <c r="I130" s="1490"/>
      <c r="J130" s="855" t="s">
        <v>586</v>
      </c>
      <c r="K130" s="861">
        <f t="shared" si="7"/>
        <v>14.042177259080251</v>
      </c>
      <c r="L130" s="861">
        <f t="shared" si="8"/>
        <v>14.510249834382929</v>
      </c>
      <c r="M130" s="861">
        <f t="shared" si="9"/>
        <v>14.510249834382929</v>
      </c>
      <c r="N130" s="861">
        <f t="shared" si="10"/>
        <v>13.574104683777577</v>
      </c>
      <c r="O130" s="861">
        <f t="shared" si="11"/>
        <v>14.510249834382929</v>
      </c>
      <c r="P130" s="479"/>
      <c r="Q130" s="41"/>
    </row>
    <row r="131" spans="1:17">
      <c r="A131" s="560"/>
      <c r="C131" s="560"/>
      <c r="D131" s="560"/>
      <c r="E131" s="560"/>
      <c r="F131" s="560"/>
      <c r="G131" s="560"/>
      <c r="H131" s="1377"/>
      <c r="I131" s="1490"/>
      <c r="J131" s="855" t="s">
        <v>19</v>
      </c>
      <c r="K131" s="861">
        <f t="shared" si="7"/>
        <v>47.336613204815997</v>
      </c>
      <c r="L131" s="861">
        <f t="shared" si="8"/>
        <v>48.914500311643195</v>
      </c>
      <c r="M131" s="861">
        <f t="shared" si="9"/>
        <v>48.914500311643195</v>
      </c>
      <c r="N131" s="861">
        <f t="shared" si="10"/>
        <v>45.758726097988792</v>
      </c>
      <c r="O131" s="861">
        <f t="shared" si="11"/>
        <v>48.914500311643195</v>
      </c>
      <c r="P131" s="479"/>
      <c r="Q131" s="41"/>
    </row>
    <row r="132" spans="1:17">
      <c r="A132" s="560"/>
      <c r="C132" s="560"/>
      <c r="D132" s="560"/>
      <c r="E132" s="560"/>
      <c r="F132" s="560"/>
      <c r="G132" s="560"/>
      <c r="H132" s="1377"/>
      <c r="I132" s="1490"/>
      <c r="J132" s="860" t="s">
        <v>588</v>
      </c>
      <c r="K132" s="861">
        <f t="shared" si="7"/>
        <v>23.727036891744</v>
      </c>
      <c r="L132" s="861">
        <f t="shared" si="8"/>
        <v>24.517938121468795</v>
      </c>
      <c r="M132" s="861">
        <f t="shared" si="9"/>
        <v>24.517938121468795</v>
      </c>
      <c r="N132" s="861">
        <f t="shared" si="10"/>
        <v>22.936135662019197</v>
      </c>
      <c r="O132" s="861">
        <f t="shared" si="11"/>
        <v>24.517938121468795</v>
      </c>
      <c r="P132" s="479"/>
      <c r="Q132" s="41"/>
    </row>
    <row r="133" spans="1:17">
      <c r="A133" s="560"/>
      <c r="C133" s="560"/>
      <c r="D133" s="560"/>
      <c r="E133" s="560"/>
      <c r="F133" s="560"/>
      <c r="G133" s="560"/>
      <c r="H133" s="1377" t="s">
        <v>857</v>
      </c>
      <c r="I133" s="1375" t="s">
        <v>809</v>
      </c>
      <c r="J133" s="859" t="s">
        <v>9</v>
      </c>
      <c r="K133" s="861">
        <f t="shared" si="7"/>
        <v>34.8153155183808</v>
      </c>
      <c r="L133" s="861">
        <f t="shared" si="8"/>
        <v>35.975826035660162</v>
      </c>
      <c r="M133" s="861">
        <f t="shared" si="9"/>
        <v>35.975826035660162</v>
      </c>
      <c r="N133" s="861">
        <f t="shared" si="10"/>
        <v>33.654805001101437</v>
      </c>
      <c r="O133" s="861">
        <f t="shared" si="11"/>
        <v>35.975826035660162</v>
      </c>
      <c r="P133" s="479"/>
      <c r="Q133" s="41"/>
    </row>
    <row r="134" spans="1:17">
      <c r="A134" s="560"/>
      <c r="C134" s="560"/>
      <c r="D134" s="560"/>
      <c r="E134" s="560"/>
      <c r="F134" s="560"/>
      <c r="G134" s="560"/>
      <c r="H134" s="1377"/>
      <c r="I134" s="1375"/>
      <c r="J134" s="855" t="s">
        <v>804</v>
      </c>
      <c r="K134" s="861">
        <f t="shared" si="7"/>
        <v>88.236386698406392</v>
      </c>
      <c r="L134" s="861">
        <f t="shared" si="8"/>
        <v>91.177599588353274</v>
      </c>
      <c r="M134" s="861">
        <f t="shared" si="9"/>
        <v>91.177599588353274</v>
      </c>
      <c r="N134" s="861">
        <f t="shared" si="10"/>
        <v>85.295173808459509</v>
      </c>
      <c r="O134" s="861">
        <f t="shared" si="11"/>
        <v>91.177599588353274</v>
      </c>
      <c r="P134" s="479"/>
      <c r="Q134" s="41"/>
    </row>
    <row r="135" spans="1:17">
      <c r="A135" s="560"/>
      <c r="C135" s="560"/>
      <c r="D135" s="560"/>
      <c r="E135" s="560"/>
      <c r="F135" s="560"/>
      <c r="G135" s="560"/>
      <c r="H135" s="1377"/>
      <c r="I135" s="1375"/>
      <c r="J135" s="855" t="s">
        <v>22</v>
      </c>
      <c r="K135" s="861">
        <f t="shared" si="7"/>
        <v>11.121167588664958</v>
      </c>
      <c r="L135" s="861">
        <f t="shared" si="8"/>
        <v>11.491873174953792</v>
      </c>
      <c r="M135" s="861">
        <f t="shared" si="9"/>
        <v>11.491873174953792</v>
      </c>
      <c r="N135" s="861">
        <f t="shared" si="10"/>
        <v>10.750462002376127</v>
      </c>
      <c r="O135" s="861">
        <f t="shared" si="11"/>
        <v>11.491873174953792</v>
      </c>
      <c r="P135" s="479"/>
      <c r="Q135" s="41"/>
    </row>
    <row r="136" spans="1:17">
      <c r="A136" s="560"/>
      <c r="C136" s="560"/>
      <c r="D136" s="560"/>
      <c r="E136" s="560"/>
      <c r="F136" s="560"/>
      <c r="G136" s="560"/>
      <c r="H136" s="1377"/>
      <c r="I136" s="1375"/>
      <c r="J136" s="855" t="s">
        <v>803</v>
      </c>
      <c r="K136" s="861">
        <f t="shared" si="7"/>
        <v>5.591123544787199</v>
      </c>
      <c r="L136" s="861">
        <f t="shared" si="8"/>
        <v>5.7774943296134387</v>
      </c>
      <c r="M136" s="861">
        <f t="shared" si="9"/>
        <v>5.7774943296134387</v>
      </c>
      <c r="N136" s="861">
        <f t="shared" si="10"/>
        <v>5.4047527599609593</v>
      </c>
      <c r="O136" s="861">
        <f t="shared" si="11"/>
        <v>5.7774943296134387</v>
      </c>
      <c r="P136" s="479"/>
      <c r="Q136" s="41"/>
    </row>
    <row r="137" spans="1:17">
      <c r="A137" s="560"/>
      <c r="C137" s="560"/>
      <c r="D137" s="560"/>
      <c r="E137" s="560"/>
      <c r="F137" s="560"/>
      <c r="G137" s="560"/>
      <c r="H137" s="1377"/>
      <c r="I137" s="1375"/>
      <c r="J137" s="855" t="s">
        <v>802</v>
      </c>
      <c r="K137" s="861">
        <f t="shared" si="7"/>
        <v>36.588970256328004</v>
      </c>
      <c r="L137" s="861">
        <f t="shared" si="8"/>
        <v>37.808602598205603</v>
      </c>
      <c r="M137" s="861">
        <f t="shared" si="9"/>
        <v>37.808602598205603</v>
      </c>
      <c r="N137" s="861">
        <f t="shared" si="10"/>
        <v>35.369337914450398</v>
      </c>
      <c r="O137" s="861">
        <f t="shared" si="11"/>
        <v>37.808602598205603</v>
      </c>
      <c r="P137" s="479"/>
      <c r="Q137" s="41"/>
    </row>
    <row r="138" spans="1:17">
      <c r="A138" s="560"/>
      <c r="C138" s="560"/>
      <c r="D138" s="560"/>
      <c r="E138" s="560"/>
      <c r="F138" s="560"/>
      <c r="G138" s="560"/>
      <c r="H138" s="1377"/>
      <c r="I138" s="1375"/>
      <c r="J138" s="855" t="s">
        <v>587</v>
      </c>
      <c r="K138" s="861">
        <f t="shared" si="7"/>
        <v>12.967647885388796</v>
      </c>
      <c r="L138" s="861">
        <f t="shared" si="8"/>
        <v>13.399902814901758</v>
      </c>
      <c r="M138" s="861">
        <f t="shared" si="9"/>
        <v>13.399902814901758</v>
      </c>
      <c r="N138" s="861">
        <f t="shared" si="10"/>
        <v>12.535392955875837</v>
      </c>
      <c r="O138" s="861">
        <f t="shared" si="11"/>
        <v>13.399902814901758</v>
      </c>
      <c r="P138" s="479"/>
      <c r="Q138" s="41"/>
    </row>
    <row r="139" spans="1:17">
      <c r="A139" s="560"/>
      <c r="C139" s="560"/>
      <c r="D139" s="560"/>
      <c r="E139" s="560"/>
      <c r="F139" s="560"/>
      <c r="G139" s="560"/>
      <c r="H139" s="1377"/>
      <c r="I139" s="1375"/>
      <c r="J139" s="855" t="s">
        <v>20</v>
      </c>
      <c r="K139" s="861">
        <f t="shared" si="7"/>
        <v>32.043245861721601</v>
      </c>
      <c r="L139" s="861">
        <f t="shared" si="8"/>
        <v>33.111354057112315</v>
      </c>
      <c r="M139" s="861">
        <f t="shared" si="9"/>
        <v>33.111354057112315</v>
      </c>
      <c r="N139" s="861">
        <f t="shared" si="10"/>
        <v>30.97513766633088</v>
      </c>
      <c r="O139" s="861">
        <f t="shared" si="11"/>
        <v>33.111354057112315</v>
      </c>
      <c r="P139" s="479"/>
      <c r="Q139" s="41"/>
    </row>
    <row r="140" spans="1:17">
      <c r="A140" s="560"/>
      <c r="C140" s="560"/>
      <c r="D140" s="560"/>
      <c r="E140" s="560"/>
      <c r="F140" s="560"/>
      <c r="G140" s="560"/>
      <c r="H140" s="1377"/>
      <c r="I140" s="1375"/>
      <c r="J140" s="855" t="s">
        <v>586</v>
      </c>
      <c r="K140" s="861">
        <f t="shared" si="7"/>
        <v>14.042177259080251</v>
      </c>
      <c r="L140" s="861">
        <f t="shared" si="8"/>
        <v>14.510249834382929</v>
      </c>
      <c r="M140" s="861">
        <f t="shared" si="9"/>
        <v>14.510249834382929</v>
      </c>
      <c r="N140" s="861">
        <f t="shared" si="10"/>
        <v>13.574104683777577</v>
      </c>
      <c r="O140" s="861">
        <f t="shared" si="11"/>
        <v>14.510249834382929</v>
      </c>
      <c r="P140" s="479"/>
      <c r="Q140" s="41"/>
    </row>
    <row r="141" spans="1:17">
      <c r="A141" s="560"/>
      <c r="C141" s="560"/>
      <c r="D141" s="560"/>
      <c r="E141" s="560"/>
      <c r="F141" s="560"/>
      <c r="G141" s="560"/>
      <c r="H141" s="1377"/>
      <c r="I141" s="1375"/>
      <c r="J141" s="855" t="s">
        <v>19</v>
      </c>
      <c r="K141" s="861">
        <f t="shared" si="7"/>
        <v>47.336613204815997</v>
      </c>
      <c r="L141" s="861">
        <f t="shared" si="8"/>
        <v>48.914500311643195</v>
      </c>
      <c r="M141" s="861">
        <f t="shared" si="9"/>
        <v>48.914500311643195</v>
      </c>
      <c r="N141" s="861">
        <f t="shared" si="10"/>
        <v>45.758726097988792</v>
      </c>
      <c r="O141" s="861">
        <f t="shared" si="11"/>
        <v>48.914500311643195</v>
      </c>
      <c r="P141" s="479"/>
      <c r="Q141" s="41"/>
    </row>
    <row r="142" spans="1:17">
      <c r="A142" s="560"/>
      <c r="C142" s="560"/>
      <c r="D142" s="560"/>
      <c r="E142" s="560"/>
      <c r="F142" s="560"/>
      <c r="G142" s="560"/>
      <c r="H142" s="1377"/>
      <c r="I142" s="1375"/>
      <c r="J142" s="860" t="s">
        <v>588</v>
      </c>
      <c r="K142" s="861">
        <f t="shared" si="7"/>
        <v>23.727036891744</v>
      </c>
      <c r="L142" s="861">
        <f t="shared" si="8"/>
        <v>24.517938121468795</v>
      </c>
      <c r="M142" s="861">
        <f t="shared" si="9"/>
        <v>24.517938121468795</v>
      </c>
      <c r="N142" s="861">
        <f t="shared" si="10"/>
        <v>22.936135662019197</v>
      </c>
      <c r="O142" s="861">
        <f t="shared" si="11"/>
        <v>24.517938121468795</v>
      </c>
      <c r="P142" s="479"/>
      <c r="Q142" s="41"/>
    </row>
    <row r="143" spans="1:17">
      <c r="A143" s="560"/>
      <c r="C143" s="560"/>
      <c r="D143" s="560"/>
      <c r="E143" s="560"/>
      <c r="F143" s="560"/>
      <c r="G143" s="560"/>
      <c r="H143" s="1377"/>
      <c r="I143" s="1490" t="s">
        <v>810</v>
      </c>
      <c r="J143" s="859" t="s">
        <v>9</v>
      </c>
      <c r="K143" s="861">
        <f t="shared" si="7"/>
        <v>34.8153155183808</v>
      </c>
      <c r="L143" s="861">
        <f t="shared" si="8"/>
        <v>35.975826035660162</v>
      </c>
      <c r="M143" s="861">
        <f t="shared" si="9"/>
        <v>35.975826035660162</v>
      </c>
      <c r="N143" s="861">
        <f t="shared" si="10"/>
        <v>33.654805001101437</v>
      </c>
      <c r="O143" s="861">
        <f t="shared" si="11"/>
        <v>35.975826035660162</v>
      </c>
      <c r="P143" s="479"/>
      <c r="Q143" s="41"/>
    </row>
    <row r="144" spans="1:17">
      <c r="A144" s="560"/>
      <c r="C144" s="560"/>
      <c r="D144" s="560"/>
      <c r="E144" s="560"/>
      <c r="F144" s="560"/>
      <c r="G144" s="560"/>
      <c r="H144" s="1377"/>
      <c r="I144" s="1490"/>
      <c r="J144" s="855" t="s">
        <v>804</v>
      </c>
      <c r="K144" s="861">
        <f t="shared" si="7"/>
        <v>88.236386698406392</v>
      </c>
      <c r="L144" s="861">
        <f t="shared" si="8"/>
        <v>91.177599588353274</v>
      </c>
      <c r="M144" s="861">
        <f t="shared" si="9"/>
        <v>91.177599588353274</v>
      </c>
      <c r="N144" s="861">
        <f t="shared" si="10"/>
        <v>85.295173808459509</v>
      </c>
      <c r="O144" s="861">
        <f t="shared" si="11"/>
        <v>91.177599588353274</v>
      </c>
      <c r="P144" s="479"/>
      <c r="Q144" s="41"/>
    </row>
    <row r="145" spans="1:17">
      <c r="A145" s="560"/>
      <c r="C145" s="560"/>
      <c r="D145" s="560"/>
      <c r="E145" s="560"/>
      <c r="F145" s="560"/>
      <c r="G145" s="560"/>
      <c r="H145" s="1377"/>
      <c r="I145" s="1490"/>
      <c r="J145" s="855" t="s">
        <v>22</v>
      </c>
      <c r="K145" s="861">
        <f t="shared" si="7"/>
        <v>11.121167588664958</v>
      </c>
      <c r="L145" s="861">
        <f t="shared" si="8"/>
        <v>11.491873174953792</v>
      </c>
      <c r="M145" s="861">
        <f t="shared" si="9"/>
        <v>11.491873174953792</v>
      </c>
      <c r="N145" s="861">
        <f t="shared" si="10"/>
        <v>10.750462002376127</v>
      </c>
      <c r="O145" s="861">
        <f t="shared" si="11"/>
        <v>11.491873174953792</v>
      </c>
      <c r="P145" s="479"/>
      <c r="Q145" s="41"/>
    </row>
    <row r="146" spans="1:17">
      <c r="A146" s="560"/>
      <c r="C146" s="560"/>
      <c r="D146" s="560"/>
      <c r="E146" s="560"/>
      <c r="F146" s="560"/>
      <c r="G146" s="560"/>
      <c r="H146" s="1377"/>
      <c r="I146" s="1490"/>
      <c r="J146" s="855" t="s">
        <v>803</v>
      </c>
      <c r="K146" s="861">
        <f t="shared" si="7"/>
        <v>5.591123544787199</v>
      </c>
      <c r="L146" s="861">
        <f t="shared" si="8"/>
        <v>5.7774943296134387</v>
      </c>
      <c r="M146" s="861">
        <f t="shared" si="9"/>
        <v>5.7774943296134387</v>
      </c>
      <c r="N146" s="861">
        <f t="shared" si="10"/>
        <v>5.4047527599609593</v>
      </c>
      <c r="O146" s="861">
        <f t="shared" si="11"/>
        <v>5.7774943296134387</v>
      </c>
      <c r="P146" s="479"/>
      <c r="Q146" s="41"/>
    </row>
    <row r="147" spans="1:17">
      <c r="A147" s="560"/>
      <c r="C147" s="560"/>
      <c r="D147" s="560"/>
      <c r="E147" s="560"/>
      <c r="F147" s="560"/>
      <c r="G147" s="560"/>
      <c r="H147" s="1377"/>
      <c r="I147" s="1490"/>
      <c r="J147" s="855" t="s">
        <v>802</v>
      </c>
      <c r="K147" s="861">
        <f t="shared" si="7"/>
        <v>36.588970256328004</v>
      </c>
      <c r="L147" s="861">
        <f t="shared" si="8"/>
        <v>37.808602598205603</v>
      </c>
      <c r="M147" s="861">
        <f t="shared" si="9"/>
        <v>37.808602598205603</v>
      </c>
      <c r="N147" s="861">
        <f t="shared" si="10"/>
        <v>35.369337914450398</v>
      </c>
      <c r="O147" s="861">
        <f t="shared" si="11"/>
        <v>37.808602598205603</v>
      </c>
      <c r="P147" s="479"/>
      <c r="Q147" s="41"/>
    </row>
    <row r="148" spans="1:17">
      <c r="A148" s="560"/>
      <c r="C148" s="560"/>
      <c r="D148" s="560"/>
      <c r="E148" s="560"/>
      <c r="F148" s="560"/>
      <c r="G148" s="560"/>
      <c r="H148" s="1377"/>
      <c r="I148" s="1490"/>
      <c r="J148" s="855" t="s">
        <v>587</v>
      </c>
      <c r="K148" s="861">
        <f t="shared" si="7"/>
        <v>12.967647885388796</v>
      </c>
      <c r="L148" s="861">
        <f t="shared" si="8"/>
        <v>13.399902814901758</v>
      </c>
      <c r="M148" s="861">
        <f t="shared" si="9"/>
        <v>13.399902814901758</v>
      </c>
      <c r="N148" s="861">
        <f t="shared" si="10"/>
        <v>12.535392955875837</v>
      </c>
      <c r="O148" s="861">
        <f t="shared" si="11"/>
        <v>13.399902814901758</v>
      </c>
      <c r="P148" s="479"/>
      <c r="Q148" s="41"/>
    </row>
    <row r="149" spans="1:17">
      <c r="A149" s="560"/>
      <c r="C149" s="560"/>
      <c r="D149" s="560"/>
      <c r="E149" s="560"/>
      <c r="F149" s="560"/>
      <c r="G149" s="560"/>
      <c r="H149" s="1377"/>
      <c r="I149" s="1490"/>
      <c r="J149" s="855" t="s">
        <v>20</v>
      </c>
      <c r="K149" s="861">
        <f t="shared" si="7"/>
        <v>32.043245861721601</v>
      </c>
      <c r="L149" s="861">
        <f t="shared" si="8"/>
        <v>33.111354057112315</v>
      </c>
      <c r="M149" s="861">
        <f t="shared" si="9"/>
        <v>33.111354057112315</v>
      </c>
      <c r="N149" s="861">
        <f t="shared" si="10"/>
        <v>30.97513766633088</v>
      </c>
      <c r="O149" s="861">
        <f t="shared" si="11"/>
        <v>33.111354057112315</v>
      </c>
      <c r="P149" s="479"/>
      <c r="Q149" s="41"/>
    </row>
    <row r="150" spans="1:17">
      <c r="A150" s="560"/>
      <c r="C150" s="560"/>
      <c r="D150" s="560"/>
      <c r="E150" s="560"/>
      <c r="F150" s="560"/>
      <c r="G150" s="560"/>
      <c r="H150" s="1377"/>
      <c r="I150" s="1490"/>
      <c r="J150" s="855" t="s">
        <v>586</v>
      </c>
      <c r="K150" s="861">
        <f t="shared" si="7"/>
        <v>14.042177259080251</v>
      </c>
      <c r="L150" s="861">
        <f t="shared" si="8"/>
        <v>14.510249834382929</v>
      </c>
      <c r="M150" s="861">
        <f t="shared" si="9"/>
        <v>14.510249834382929</v>
      </c>
      <c r="N150" s="861">
        <f t="shared" si="10"/>
        <v>13.574104683777577</v>
      </c>
      <c r="O150" s="861">
        <f t="shared" si="11"/>
        <v>14.510249834382929</v>
      </c>
      <c r="P150" s="479"/>
      <c r="Q150" s="41"/>
    </row>
    <row r="151" spans="1:17">
      <c r="A151" s="560"/>
      <c r="C151" s="560"/>
      <c r="D151" s="560"/>
      <c r="E151" s="560"/>
      <c r="F151" s="560"/>
      <c r="G151" s="560"/>
      <c r="H151" s="1377"/>
      <c r="I151" s="1490"/>
      <c r="J151" s="855" t="s">
        <v>19</v>
      </c>
      <c r="K151" s="861">
        <f t="shared" si="7"/>
        <v>47.336613204815997</v>
      </c>
      <c r="L151" s="861">
        <f t="shared" si="8"/>
        <v>48.914500311643195</v>
      </c>
      <c r="M151" s="861">
        <f t="shared" si="9"/>
        <v>48.914500311643195</v>
      </c>
      <c r="N151" s="861">
        <f t="shared" si="10"/>
        <v>45.758726097988792</v>
      </c>
      <c r="O151" s="861">
        <f t="shared" si="11"/>
        <v>48.914500311643195</v>
      </c>
      <c r="P151" s="479"/>
      <c r="Q151" s="41"/>
    </row>
    <row r="152" spans="1:17">
      <c r="A152" s="560"/>
      <c r="C152" s="560"/>
      <c r="D152" s="560"/>
      <c r="E152" s="560"/>
      <c r="F152" s="560"/>
      <c r="G152" s="560"/>
      <c r="H152" s="1377"/>
      <c r="I152" s="1490"/>
      <c r="J152" s="860" t="s">
        <v>588</v>
      </c>
      <c r="K152" s="861">
        <f t="shared" si="7"/>
        <v>23.727036891744</v>
      </c>
      <c r="L152" s="861">
        <f t="shared" si="8"/>
        <v>24.517938121468795</v>
      </c>
      <c r="M152" s="861">
        <f t="shared" si="9"/>
        <v>24.517938121468795</v>
      </c>
      <c r="N152" s="861">
        <f t="shared" si="10"/>
        <v>22.936135662019197</v>
      </c>
      <c r="O152" s="861">
        <f t="shared" si="11"/>
        <v>24.517938121468795</v>
      </c>
      <c r="P152" s="479"/>
      <c r="Q152" s="41"/>
    </row>
    <row r="153" spans="1:17">
      <c r="I153" s="1711" t="s">
        <v>226</v>
      </c>
      <c r="J153" s="1712"/>
      <c r="K153" s="567">
        <f t="shared" si="7"/>
        <v>306.46968470931796</v>
      </c>
      <c r="L153" s="567">
        <f t="shared" si="8"/>
        <v>316.68534086629529</v>
      </c>
      <c r="M153" s="567">
        <f t="shared" si="9"/>
        <v>316.68534086629529</v>
      </c>
      <c r="N153" s="567">
        <f t="shared" si="10"/>
        <v>296.25402855234069</v>
      </c>
      <c r="O153" s="567">
        <f t="shared" si="11"/>
        <v>316.68534086629529</v>
      </c>
      <c r="P153" s="479"/>
      <c r="Q153" s="41"/>
    </row>
    <row r="157" spans="1:17">
      <c r="A157" s="150" t="s">
        <v>0</v>
      </c>
      <c r="B157" s="881"/>
      <c r="C157" s="1402" t="s">
        <v>566</v>
      </c>
      <c r="D157" s="1403"/>
      <c r="E157" s="1403"/>
      <c r="F157" s="1404"/>
      <c r="G157" s="1508"/>
      <c r="H157" s="1402" t="s">
        <v>567</v>
      </c>
      <c r="I157" s="1403"/>
      <c r="J157" s="1403"/>
      <c r="K157" s="1403"/>
      <c r="L157" s="1404"/>
      <c r="M157" s="1352" t="s">
        <v>5</v>
      </c>
      <c r="N157" s="1353"/>
      <c r="O157" s="1352" t="s">
        <v>6</v>
      </c>
      <c r="P157" s="1353"/>
    </row>
    <row r="158" spans="1:17" ht="24">
      <c r="A158" s="47">
        <v>7</v>
      </c>
      <c r="B158" s="882"/>
      <c r="C158" s="1511" t="s">
        <v>550</v>
      </c>
      <c r="D158" s="1512"/>
      <c r="E158" s="1512"/>
      <c r="F158" s="1513"/>
      <c r="G158" s="1509"/>
      <c r="H158" s="1414" t="s">
        <v>568</v>
      </c>
      <c r="I158" s="1415"/>
      <c r="J158" s="1415"/>
      <c r="K158" s="1415"/>
      <c r="L158" s="1416"/>
      <c r="M158" s="1391">
        <f>'1.Dati'!L2:M2</f>
        <v>0</v>
      </c>
      <c r="N158" s="1392"/>
      <c r="O158" s="1391" t="str">
        <f>O2</f>
        <v>X</v>
      </c>
      <c r="P158" s="1392"/>
    </row>
    <row r="159" spans="1:17">
      <c r="A159" s="48" t="s">
        <v>63</v>
      </c>
      <c r="B159" s="883"/>
      <c r="C159" s="1514" t="s">
        <v>551</v>
      </c>
      <c r="D159" s="1515"/>
      <c r="E159" s="1515"/>
      <c r="F159" s="1516"/>
      <c r="G159" s="1510"/>
      <c r="H159" s="1354" t="s">
        <v>644</v>
      </c>
      <c r="I159" s="1355"/>
      <c r="J159" s="1355"/>
      <c r="K159" s="1355"/>
      <c r="L159" s="1356"/>
      <c r="M159" s="1357" t="s">
        <v>1028</v>
      </c>
      <c r="N159" s="1358"/>
      <c r="O159" s="1357" t="str">
        <f>O3</f>
        <v>Y</v>
      </c>
      <c r="P159" s="1358"/>
    </row>
    <row r="161" spans="1:16" ht="16">
      <c r="A161" s="1600" t="s">
        <v>655</v>
      </c>
      <c r="B161" s="1600"/>
      <c r="C161" s="1600"/>
      <c r="D161" s="1600"/>
      <c r="E161" s="1600"/>
      <c r="F161" s="1600"/>
      <c r="G161" s="1600"/>
      <c r="H161" s="1600"/>
      <c r="I161" s="1600"/>
      <c r="J161" s="1600"/>
      <c r="K161" s="1600"/>
      <c r="L161" s="1600"/>
      <c r="M161" s="1600"/>
      <c r="N161" s="1600"/>
      <c r="O161" s="1600"/>
      <c r="P161" s="1600"/>
    </row>
    <row r="163" spans="1:16">
      <c r="A163" s="1379" t="s">
        <v>305</v>
      </c>
      <c r="B163" s="1380"/>
      <c r="C163" s="1381"/>
      <c r="D163" s="1688" t="s">
        <v>312</v>
      </c>
      <c r="E163" s="1688" t="s">
        <v>306</v>
      </c>
      <c r="F163" s="1713" t="s">
        <v>198</v>
      </c>
      <c r="G163" s="1688" t="s">
        <v>138</v>
      </c>
      <c r="H163" s="1699" t="s">
        <v>26</v>
      </c>
      <c r="I163" s="1688" t="s">
        <v>307</v>
      </c>
      <c r="K163" s="332"/>
      <c r="L163" s="332"/>
      <c r="M163" s="332"/>
    </row>
    <row r="164" spans="1:16">
      <c r="A164" s="1714"/>
      <c r="B164" s="1715"/>
      <c r="C164" s="1716"/>
      <c r="D164" s="1689"/>
      <c r="E164" s="1689"/>
      <c r="F164" s="1713"/>
      <c r="G164" s="1689"/>
      <c r="H164" s="1699"/>
      <c r="I164" s="1689"/>
      <c r="K164" s="332"/>
      <c r="L164" s="332"/>
      <c r="M164" s="332"/>
    </row>
    <row r="165" spans="1:16" ht="16">
      <c r="A165" s="1714"/>
      <c r="B165" s="1715"/>
      <c r="C165" s="1716"/>
      <c r="D165" s="1697" t="s">
        <v>24</v>
      </c>
      <c r="E165" s="90" t="s">
        <v>308</v>
      </c>
      <c r="F165" s="88" t="s">
        <v>199</v>
      </c>
      <c r="G165" s="88" t="s">
        <v>309</v>
      </c>
      <c r="H165" s="88" t="s">
        <v>310</v>
      </c>
      <c r="I165" s="89" t="s">
        <v>311</v>
      </c>
      <c r="K165" s="333"/>
      <c r="L165" s="332"/>
      <c r="M165" s="332"/>
    </row>
    <row r="166" spans="1:16">
      <c r="A166" s="1382"/>
      <c r="B166" s="1383"/>
      <c r="C166" s="1384"/>
      <c r="D166" s="1698"/>
      <c r="E166" s="166" t="s">
        <v>24</v>
      </c>
      <c r="F166" s="91" t="s">
        <v>45</v>
      </c>
      <c r="G166" s="91" t="s">
        <v>56</v>
      </c>
      <c r="H166" s="91" t="s">
        <v>32</v>
      </c>
      <c r="I166" s="91" t="s">
        <v>32</v>
      </c>
      <c r="K166" s="333"/>
      <c r="L166" s="40"/>
      <c r="M166" s="332"/>
    </row>
    <row r="167" spans="1:16" ht="15" customHeight="1">
      <c r="A167" s="1484" t="s">
        <v>34</v>
      </c>
      <c r="B167" s="1481" t="s">
        <v>809</v>
      </c>
      <c r="C167" s="868" t="s">
        <v>9</v>
      </c>
      <c r="D167" s="110" t="str">
        <f>'1.Dati'!D66</f>
        <v>PO1</v>
      </c>
      <c r="E167" s="890">
        <v>0.6</v>
      </c>
      <c r="F167" s="856">
        <v>0.04</v>
      </c>
      <c r="G167" s="856">
        <f>'3.Hd'!G8</f>
        <v>0.15117690925050431</v>
      </c>
      <c r="H167" s="856">
        <f>'3.Hd'!H8</f>
        <v>8.91</v>
      </c>
      <c r="I167" s="916">
        <f>E167*F167*G167*H167</f>
        <v>3.2327670274127841E-2</v>
      </c>
      <c r="K167" s="333"/>
      <c r="L167" s="332"/>
      <c r="M167" s="332"/>
    </row>
    <row r="168" spans="1:16">
      <c r="A168" s="1485"/>
      <c r="B168" s="1482"/>
      <c r="C168" s="866"/>
      <c r="D168" s="875" t="str">
        <f>'1.Dati'!D67</f>
        <v>PNO1</v>
      </c>
      <c r="E168" s="891">
        <f>$E$167</f>
        <v>0.6</v>
      </c>
      <c r="F168" s="857">
        <f>$F$167</f>
        <v>0.04</v>
      </c>
      <c r="G168" s="857">
        <f>'3.Hd'!G9</f>
        <v>0.15117690925050431</v>
      </c>
      <c r="H168" s="857">
        <f>'3.Hd'!H9</f>
        <v>5.8049999999999997</v>
      </c>
      <c r="I168" s="917">
        <f t="shared" ref="I168:I170" si="12">E168*F168*G168*H168</f>
        <v>2.106196699678026E-2</v>
      </c>
      <c r="K168" s="332"/>
      <c r="L168" s="332"/>
      <c r="M168" s="332"/>
    </row>
    <row r="169" spans="1:16">
      <c r="A169" s="1485"/>
      <c r="B169" s="1482"/>
      <c r="C169" s="869"/>
      <c r="D169" s="875" t="str">
        <f>'1.Dati'!D68</f>
        <v>SC1</v>
      </c>
      <c r="E169" s="891">
        <v>0</v>
      </c>
      <c r="F169" s="857">
        <v>0</v>
      </c>
      <c r="G169" s="857">
        <v>0</v>
      </c>
      <c r="H169" s="857">
        <v>0</v>
      </c>
      <c r="I169" s="918">
        <f t="shared" si="12"/>
        <v>0</v>
      </c>
      <c r="K169" s="332"/>
      <c r="L169" s="332"/>
      <c r="M169" s="332"/>
    </row>
    <row r="170" spans="1:16">
      <c r="A170" s="1485"/>
      <c r="B170" s="1482"/>
      <c r="C170" s="866" t="s">
        <v>804</v>
      </c>
      <c r="D170" s="110" t="str">
        <f>'1.Dati'!D69</f>
        <v>PNO2</v>
      </c>
      <c r="E170" s="890">
        <f t="shared" ref="E170:E232" si="13">$E$167</f>
        <v>0.6</v>
      </c>
      <c r="F170" s="916">
        <f>F168</f>
        <v>0.04</v>
      </c>
      <c r="G170" s="856">
        <f>'3.Hd'!G11</f>
        <v>0.15117690925050431</v>
      </c>
      <c r="H170" s="856">
        <f>'3.Hd'!H11</f>
        <v>13.716000000000001</v>
      </c>
      <c r="I170" s="916">
        <f t="shared" si="12"/>
        <v>4.9765019694718013E-2</v>
      </c>
    </row>
    <row r="171" spans="1:16">
      <c r="A171" s="1485"/>
      <c r="B171" s="1482"/>
      <c r="C171" s="866"/>
      <c r="D171" s="875" t="str">
        <f>'1.Dati'!D70</f>
        <v>PN1</v>
      </c>
      <c r="E171" s="891">
        <f t="shared" si="13"/>
        <v>0.6</v>
      </c>
      <c r="F171" s="857">
        <f t="shared" ref="F171:F232" si="14">$F$167</f>
        <v>0.04</v>
      </c>
      <c r="G171" s="857">
        <f>'3.Hd'!G12</f>
        <v>0.15117690925050431</v>
      </c>
      <c r="H171" s="857">
        <f>'3.Hd'!H12</f>
        <v>10.692</v>
      </c>
      <c r="I171" s="857">
        <f t="shared" ref="I171:I225" si="15">E171*F171*G171*H171</f>
        <v>3.8793204328953411E-2</v>
      </c>
    </row>
    <row r="172" spans="1:16">
      <c r="A172" s="1485"/>
      <c r="B172" s="1482"/>
      <c r="C172" s="866"/>
      <c r="D172" s="875" t="str">
        <f>'1.Dati'!D71</f>
        <v>SPS1</v>
      </c>
      <c r="E172" s="891">
        <v>0</v>
      </c>
      <c r="F172" s="857">
        <v>0</v>
      </c>
      <c r="G172" s="857">
        <v>0</v>
      </c>
      <c r="H172" s="857">
        <v>0</v>
      </c>
      <c r="I172" s="857">
        <f t="shared" ref="I172" si="16">E172*F172*G172*H172</f>
        <v>0</v>
      </c>
    </row>
    <row r="173" spans="1:16">
      <c r="A173" s="1485"/>
      <c r="B173" s="1482"/>
      <c r="C173" s="866"/>
      <c r="D173" s="875" t="str">
        <f>'1.Dati'!D72</f>
        <v>PiS1</v>
      </c>
      <c r="E173" s="891">
        <f t="shared" si="13"/>
        <v>0.6</v>
      </c>
      <c r="F173" s="857">
        <f t="shared" si="14"/>
        <v>0.04</v>
      </c>
      <c r="G173" s="857">
        <f>'3.Hd'!G14</f>
        <v>0.31246355597199493</v>
      </c>
      <c r="H173" s="857">
        <f>'3.Hd'!H14</f>
        <v>11.151</v>
      </c>
      <c r="I173" s="857">
        <f t="shared" si="15"/>
        <v>8.3622746703449172E-2</v>
      </c>
    </row>
    <row r="174" spans="1:16">
      <c r="A174" s="1485"/>
      <c r="B174" s="1482"/>
      <c r="C174" s="869"/>
      <c r="D174" s="876" t="str">
        <f>'1.Dati'!D73</f>
        <v>PiI1</v>
      </c>
      <c r="E174" s="892">
        <f t="shared" si="13"/>
        <v>0.6</v>
      </c>
      <c r="F174" s="892">
        <v>0</v>
      </c>
      <c r="G174" s="858">
        <f>'3.Hd'!G15</f>
        <v>1.3986013986013988</v>
      </c>
      <c r="H174" s="858">
        <f>'3.Hd'!H15</f>
        <v>2.2000000000000002</v>
      </c>
      <c r="I174" s="892">
        <v>0</v>
      </c>
    </row>
    <row r="175" spans="1:16">
      <c r="A175" s="1485"/>
      <c r="B175" s="1482"/>
      <c r="C175" s="868" t="s">
        <v>22</v>
      </c>
      <c r="D175" s="875" t="str">
        <f>'1.Dati'!D74</f>
        <v>PiE1</v>
      </c>
      <c r="E175" s="891">
        <f t="shared" si="13"/>
        <v>0.6</v>
      </c>
      <c r="F175" s="857">
        <f t="shared" si="14"/>
        <v>0.04</v>
      </c>
      <c r="G175" s="857">
        <f>'3.Hd'!G16</f>
        <v>0.31246355597199493</v>
      </c>
      <c r="H175" s="857">
        <f>'3.Hd'!H16</f>
        <v>1.62</v>
      </c>
      <c r="I175" s="857">
        <f t="shared" si="15"/>
        <v>1.2148583056191164E-2</v>
      </c>
    </row>
    <row r="176" spans="1:16">
      <c r="A176" s="1485"/>
      <c r="B176" s="1482"/>
      <c r="C176" s="869"/>
      <c r="D176" s="875" t="str">
        <f>'1.Dati'!D75</f>
        <v>SR1</v>
      </c>
      <c r="E176" s="891">
        <v>0</v>
      </c>
      <c r="F176" s="857">
        <v>0</v>
      </c>
      <c r="G176" s="857">
        <v>0</v>
      </c>
      <c r="H176" s="857">
        <v>0</v>
      </c>
      <c r="I176" s="857">
        <f t="shared" ref="I176" si="17">E176*F176*G176*H176</f>
        <v>0</v>
      </c>
    </row>
    <row r="177" spans="1:9">
      <c r="A177" s="1485"/>
      <c r="B177" s="1482"/>
      <c r="C177" s="868" t="s">
        <v>803</v>
      </c>
      <c r="D177" s="110" t="str">
        <f>'1.Dati'!D76</f>
        <v>PiS2</v>
      </c>
      <c r="E177" s="890">
        <f t="shared" si="13"/>
        <v>0.6</v>
      </c>
      <c r="F177" s="856">
        <f t="shared" si="14"/>
        <v>0.04</v>
      </c>
      <c r="G177" s="856">
        <f>'3.Hd'!G18</f>
        <v>0.31246355597199493</v>
      </c>
      <c r="H177" s="856">
        <f>'3.Hd'!H18</f>
        <v>4.0500000000000007</v>
      </c>
      <c r="I177" s="856">
        <f t="shared" si="15"/>
        <v>3.0371457640477915E-2</v>
      </c>
    </row>
    <row r="178" spans="1:9">
      <c r="A178" s="1485"/>
      <c r="B178" s="1482"/>
      <c r="C178" s="866"/>
      <c r="D178" s="875" t="str">
        <f>'1.Dati'!D77</f>
        <v>PiE2</v>
      </c>
      <c r="E178" s="891">
        <f t="shared" si="13"/>
        <v>0.6</v>
      </c>
      <c r="F178" s="891">
        <v>0</v>
      </c>
      <c r="G178" s="857">
        <f>'3.Hd'!G19</f>
        <v>0.31246355597199493</v>
      </c>
      <c r="H178" s="857">
        <f>'3.Hd'!H19</f>
        <v>4.5090000000000003</v>
      </c>
      <c r="I178" s="891">
        <v>0</v>
      </c>
    </row>
    <row r="179" spans="1:9">
      <c r="A179" s="1485"/>
      <c r="B179" s="1482"/>
      <c r="C179" s="869"/>
      <c r="D179" s="876" t="str">
        <f>'1.Dati'!D78</f>
        <v>SW3</v>
      </c>
      <c r="E179" s="892">
        <v>0</v>
      </c>
      <c r="F179" s="858">
        <v>0</v>
      </c>
      <c r="G179" s="858">
        <v>0</v>
      </c>
      <c r="H179" s="858">
        <v>0</v>
      </c>
      <c r="I179" s="858">
        <f t="shared" ref="I179" si="18">E179*F179*G179*H179</f>
        <v>0</v>
      </c>
    </row>
    <row r="180" spans="1:9">
      <c r="A180" s="1485"/>
      <c r="B180" s="1482"/>
      <c r="C180" s="868" t="s">
        <v>802</v>
      </c>
      <c r="D180" s="875" t="str">
        <f>'1.Dati'!D79</f>
        <v>PN2</v>
      </c>
      <c r="E180" s="891">
        <f t="shared" si="13"/>
        <v>0.6</v>
      </c>
      <c r="F180" s="857">
        <f t="shared" si="14"/>
        <v>0.04</v>
      </c>
      <c r="G180" s="857">
        <f>'3.Hd'!G21</f>
        <v>0.15117690925050431</v>
      </c>
      <c r="H180" s="857">
        <f>'3.Hd'!H21</f>
        <v>9.4500000000000011</v>
      </c>
      <c r="I180" s="857">
        <f t="shared" si="15"/>
        <v>3.4286923018014379E-2</v>
      </c>
    </row>
    <row r="181" spans="1:9">
      <c r="A181" s="1485"/>
      <c r="B181" s="1482"/>
      <c r="C181" s="869"/>
      <c r="D181" s="875" t="str">
        <f>'1.Dati'!D80</f>
        <v>SL3</v>
      </c>
      <c r="E181" s="891">
        <v>0</v>
      </c>
      <c r="F181" s="857">
        <v>0</v>
      </c>
      <c r="G181" s="857">
        <v>0</v>
      </c>
      <c r="H181" s="857">
        <v>0</v>
      </c>
      <c r="I181" s="918">
        <f t="shared" si="15"/>
        <v>0</v>
      </c>
    </row>
    <row r="182" spans="1:9">
      <c r="A182" s="1485"/>
      <c r="B182" s="1482"/>
      <c r="C182" s="868" t="s">
        <v>587</v>
      </c>
      <c r="D182" s="110" t="str">
        <f>'1.Dati'!D81</f>
        <v>PN3</v>
      </c>
      <c r="E182" s="890">
        <f t="shared" si="13"/>
        <v>0.6</v>
      </c>
      <c r="F182" s="916">
        <f>$F$167</f>
        <v>0.04</v>
      </c>
      <c r="G182" s="856">
        <f>'3.Hd'!G23</f>
        <v>0.15117690925050431</v>
      </c>
      <c r="H182" s="856">
        <f>'3.Hd'!H23</f>
        <v>5.4</v>
      </c>
      <c r="I182" s="917">
        <f t="shared" si="15"/>
        <v>1.9592527438865359E-2</v>
      </c>
    </row>
    <row r="183" spans="1:9">
      <c r="A183" s="1485"/>
      <c r="B183" s="1482"/>
      <c r="C183" s="869"/>
      <c r="D183" s="876" t="str">
        <f>'1.Dati'!D82</f>
        <v>SW2</v>
      </c>
      <c r="E183" s="892">
        <v>0</v>
      </c>
      <c r="F183" s="858">
        <v>0</v>
      </c>
      <c r="G183" s="858">
        <v>0</v>
      </c>
      <c r="H183" s="858">
        <v>0</v>
      </c>
      <c r="I183" s="858">
        <f t="shared" ref="I183" si="19">E183*F183*G183*H183</f>
        <v>0</v>
      </c>
    </row>
    <row r="184" spans="1:9">
      <c r="A184" s="1485"/>
      <c r="B184" s="1482"/>
      <c r="C184" s="868" t="s">
        <v>20</v>
      </c>
      <c r="D184" s="875" t="str">
        <f>'1.Dati'!D83</f>
        <v>PN4</v>
      </c>
      <c r="E184" s="891">
        <f t="shared" si="13"/>
        <v>0.6</v>
      </c>
      <c r="F184" s="916">
        <f>$F$167</f>
        <v>0.04</v>
      </c>
      <c r="G184" s="857">
        <f>'3.Hd'!G25</f>
        <v>0.15117690925050431</v>
      </c>
      <c r="H184" s="857">
        <f>'3.Hd'!H25</f>
        <v>9.5850000000000009</v>
      </c>
      <c r="I184" s="917">
        <f t="shared" si="15"/>
        <v>3.4776736203986011E-2</v>
      </c>
    </row>
    <row r="185" spans="1:9" ht="15" customHeight="1">
      <c r="A185" s="1485"/>
      <c r="B185" s="1482"/>
      <c r="C185" s="870"/>
      <c r="D185" s="875" t="str">
        <f>'1.Dati'!D84</f>
        <v>PE1</v>
      </c>
      <c r="E185" s="891">
        <f t="shared" si="13"/>
        <v>0.6</v>
      </c>
      <c r="F185" s="857">
        <f t="shared" si="14"/>
        <v>0.04</v>
      </c>
      <c r="G185" s="857">
        <f>'3.Hd'!G26</f>
        <v>0.15117690925050431</v>
      </c>
      <c r="H185" s="857">
        <f>'3.Hd'!H26</f>
        <v>9.9360000000000017</v>
      </c>
      <c r="I185" s="857">
        <f t="shared" si="15"/>
        <v>3.6050250487512266E-2</v>
      </c>
    </row>
    <row r="186" spans="1:9">
      <c r="A186" s="1485"/>
      <c r="B186" s="1482"/>
      <c r="C186" s="871"/>
      <c r="D186" s="875" t="str">
        <f>'1.Dati'!D85</f>
        <v>SL2</v>
      </c>
      <c r="E186" s="891">
        <v>0</v>
      </c>
      <c r="F186" s="857">
        <v>0</v>
      </c>
      <c r="G186" s="857">
        <v>0</v>
      </c>
      <c r="H186" s="857">
        <v>0</v>
      </c>
      <c r="I186" s="857">
        <f t="shared" ref="I186" si="20">E186*F186*G186*H186</f>
        <v>0</v>
      </c>
    </row>
    <row r="187" spans="1:9">
      <c r="A187" s="1485"/>
      <c r="B187" s="1482"/>
      <c r="C187" s="868" t="s">
        <v>586</v>
      </c>
      <c r="D187" s="110" t="str">
        <f>'1.Dati'!D86</f>
        <v>PE2</v>
      </c>
      <c r="E187" s="890">
        <f t="shared" si="13"/>
        <v>0.6</v>
      </c>
      <c r="F187" s="856">
        <f t="shared" si="14"/>
        <v>0.04</v>
      </c>
      <c r="G187" s="856">
        <f>'3.Hd'!G28</f>
        <v>0.15117690925050431</v>
      </c>
      <c r="H187" s="856">
        <f>'3.Hd'!H28</f>
        <v>7.7220000000000004</v>
      </c>
      <c r="I187" s="856">
        <f t="shared" si="15"/>
        <v>2.8017314237577463E-2</v>
      </c>
    </row>
    <row r="188" spans="1:9">
      <c r="A188" s="1485"/>
      <c r="B188" s="1482"/>
      <c r="C188" s="871"/>
      <c r="D188" s="876" t="str">
        <f>'1.Dati'!D87</f>
        <v>SW1</v>
      </c>
      <c r="E188" s="892">
        <v>0</v>
      </c>
      <c r="F188" s="858">
        <v>0</v>
      </c>
      <c r="G188" s="858">
        <v>0</v>
      </c>
      <c r="H188" s="858">
        <v>0</v>
      </c>
      <c r="I188" s="858">
        <f t="shared" ref="I188" si="21">E188*F188*G188*H188</f>
        <v>0</v>
      </c>
    </row>
    <row r="189" spans="1:9" ht="15" customHeight="1">
      <c r="A189" s="1485"/>
      <c r="B189" s="1482"/>
      <c r="C189" s="868" t="s">
        <v>19</v>
      </c>
      <c r="D189" s="875" t="str">
        <f>'1.Dati'!D88</f>
        <v>PE3</v>
      </c>
      <c r="E189" s="891">
        <f t="shared" si="13"/>
        <v>0.6</v>
      </c>
      <c r="F189" s="857">
        <f t="shared" si="14"/>
        <v>0.04</v>
      </c>
      <c r="G189" s="857">
        <f>'3.Hd'!G30</f>
        <v>0.15117690925050431</v>
      </c>
      <c r="H189" s="857">
        <f>'3.Hd'!H30</f>
        <v>8.6669999999999998</v>
      </c>
      <c r="I189" s="857">
        <f t="shared" si="15"/>
        <v>3.1446006539378901E-2</v>
      </c>
    </row>
    <row r="190" spans="1:9">
      <c r="A190" s="1485"/>
      <c r="B190" s="1482"/>
      <c r="C190" s="870"/>
      <c r="D190" s="875" t="str">
        <f>'1.Dati'!D89</f>
        <v>PiO1</v>
      </c>
      <c r="E190" s="891">
        <f t="shared" si="13"/>
        <v>0.6</v>
      </c>
      <c r="F190" s="857">
        <f t="shared" si="14"/>
        <v>0.04</v>
      </c>
      <c r="G190" s="857">
        <f>'3.Hd'!G31</f>
        <v>0.31246355597199493</v>
      </c>
      <c r="H190" s="857">
        <f>'3.Hd'!H31</f>
        <v>11.07</v>
      </c>
      <c r="I190" s="857">
        <f t="shared" si="15"/>
        <v>8.3015317550639622E-2</v>
      </c>
    </row>
    <row r="191" spans="1:9">
      <c r="A191" s="1485"/>
      <c r="B191" s="1483"/>
      <c r="C191" s="871"/>
      <c r="D191" s="875" t="str">
        <f>'1.Dati'!D90</f>
        <v>SL1</v>
      </c>
      <c r="E191" s="891">
        <v>0</v>
      </c>
      <c r="F191" s="857">
        <v>0</v>
      </c>
      <c r="G191" s="857">
        <v>0</v>
      </c>
      <c r="H191" s="857">
        <v>0</v>
      </c>
      <c r="I191" s="857">
        <f t="shared" ref="I191" si="22">E191*F191*G191*H191</f>
        <v>0</v>
      </c>
    </row>
    <row r="192" spans="1:9">
      <c r="A192" s="1485"/>
      <c r="B192" s="1372" t="s">
        <v>810</v>
      </c>
      <c r="C192" s="868" t="s">
        <v>9</v>
      </c>
      <c r="D192" s="110" t="str">
        <f>'1.Dati'!D93</f>
        <v>PE4</v>
      </c>
      <c r="E192" s="890">
        <f t="shared" si="13"/>
        <v>0.6</v>
      </c>
      <c r="F192" s="856">
        <f t="shared" si="14"/>
        <v>0.04</v>
      </c>
      <c r="G192" s="856">
        <f>'3.Hd'!G35</f>
        <v>0.15117690925050431</v>
      </c>
      <c r="H192" s="856">
        <f>'3.Hd'!H35</f>
        <v>8.91</v>
      </c>
      <c r="I192" s="856">
        <f t="shared" si="15"/>
        <v>3.2327670274127841E-2</v>
      </c>
    </row>
    <row r="193" spans="1:9">
      <c r="A193" s="1485"/>
      <c r="B193" s="1373"/>
      <c r="C193" s="866"/>
      <c r="D193" s="875" t="str">
        <f>'1.Dati'!D94</f>
        <v>PSE2</v>
      </c>
      <c r="E193" s="891">
        <f t="shared" si="13"/>
        <v>0.6</v>
      </c>
      <c r="F193" s="857">
        <f t="shared" si="14"/>
        <v>0.04</v>
      </c>
      <c r="G193" s="857">
        <f>'3.Hd'!G36</f>
        <v>0.15117690925050431</v>
      </c>
      <c r="H193" s="857">
        <f>'3.Hd'!H36</f>
        <v>5.8049999999999997</v>
      </c>
      <c r="I193" s="857">
        <f t="shared" si="15"/>
        <v>2.106196699678026E-2</v>
      </c>
    </row>
    <row r="194" spans="1:9">
      <c r="A194" s="1485"/>
      <c r="B194" s="1373"/>
      <c r="C194" s="869"/>
      <c r="D194" s="876" t="str">
        <f>'1.Dati'!D95</f>
        <v>SC1</v>
      </c>
      <c r="E194" s="892">
        <v>0</v>
      </c>
      <c r="F194" s="858">
        <v>0</v>
      </c>
      <c r="G194" s="858">
        <v>0</v>
      </c>
      <c r="H194" s="858">
        <v>0</v>
      </c>
      <c r="I194" s="858">
        <f t="shared" ref="I194" si="23">E194*F194*G194*H194</f>
        <v>0</v>
      </c>
    </row>
    <row r="195" spans="1:9" ht="15" customHeight="1">
      <c r="A195" s="1485"/>
      <c r="B195" s="1373"/>
      <c r="C195" s="866" t="s">
        <v>804</v>
      </c>
      <c r="D195" s="875" t="str">
        <f>'1.Dati'!D96</f>
        <v>PSE1</v>
      </c>
      <c r="E195" s="891">
        <f t="shared" si="13"/>
        <v>0.6</v>
      </c>
      <c r="F195" s="857">
        <f t="shared" si="14"/>
        <v>0.04</v>
      </c>
      <c r="G195" s="857">
        <f>'3.Hd'!G38</f>
        <v>0.15117690925050431</v>
      </c>
      <c r="H195" s="857">
        <f>'3.Hd'!H38</f>
        <v>13.716000000000001</v>
      </c>
      <c r="I195" s="857">
        <f t="shared" si="15"/>
        <v>4.9765019694718013E-2</v>
      </c>
    </row>
    <row r="196" spans="1:9">
      <c r="A196" s="1485"/>
      <c r="B196" s="1373"/>
      <c r="C196" s="866"/>
      <c r="D196" s="875" t="str">
        <f>'1.Dati'!D97</f>
        <v>PS4</v>
      </c>
      <c r="E196" s="891">
        <f t="shared" si="13"/>
        <v>0.6</v>
      </c>
      <c r="F196" s="857">
        <f t="shared" si="14"/>
        <v>0.04</v>
      </c>
      <c r="G196" s="857">
        <f>'3.Hd'!G39</f>
        <v>0.15117690925050431</v>
      </c>
      <c r="H196" s="857">
        <f>'3.Hd'!H39</f>
        <v>10.692</v>
      </c>
      <c r="I196" s="857">
        <f t="shared" si="15"/>
        <v>3.8793204328953411E-2</v>
      </c>
    </row>
    <row r="197" spans="1:9">
      <c r="A197" s="1485"/>
      <c r="B197" s="1373"/>
      <c r="C197" s="866"/>
      <c r="D197" s="875" t="str">
        <f>'1.Dati'!D98</f>
        <v>SPS1</v>
      </c>
      <c r="E197" s="891">
        <v>0</v>
      </c>
      <c r="F197" s="857">
        <v>0</v>
      </c>
      <c r="G197" s="857">
        <v>0</v>
      </c>
      <c r="H197" s="857">
        <v>0</v>
      </c>
      <c r="I197" s="857">
        <f t="shared" ref="I197" si="24">E197*F197*G197*H197</f>
        <v>0</v>
      </c>
    </row>
    <row r="198" spans="1:9" ht="18.75" customHeight="1">
      <c r="A198" s="1485"/>
      <c r="B198" s="1373"/>
      <c r="C198" s="866"/>
      <c r="D198" s="875" t="str">
        <f>'1.Dati'!D99</f>
        <v>PiN1</v>
      </c>
      <c r="E198" s="891">
        <f t="shared" si="13"/>
        <v>0.6</v>
      </c>
      <c r="F198" s="857">
        <f t="shared" si="14"/>
        <v>0.04</v>
      </c>
      <c r="G198" s="857">
        <f>'3.Hd'!G41</f>
        <v>0.31246355597199493</v>
      </c>
      <c r="H198" s="857">
        <f>'3.Hd'!H41</f>
        <v>11.151</v>
      </c>
      <c r="I198" s="857">
        <f t="shared" si="15"/>
        <v>8.3622746703449172E-2</v>
      </c>
    </row>
    <row r="199" spans="1:9">
      <c r="A199" s="1485"/>
      <c r="B199" s="1373"/>
      <c r="C199" s="869"/>
      <c r="D199" s="875" t="str">
        <f>'1.Dati'!D100</f>
        <v>PiI2</v>
      </c>
      <c r="E199" s="891">
        <f t="shared" si="13"/>
        <v>0.6</v>
      </c>
      <c r="F199" s="857">
        <f t="shared" si="14"/>
        <v>0.04</v>
      </c>
      <c r="G199" s="857">
        <f>'3.Hd'!G42</f>
        <v>1.3986013986013988</v>
      </c>
      <c r="H199" s="857">
        <f>'3.Hd'!H42</f>
        <v>2.2000000000000002</v>
      </c>
      <c r="I199" s="857">
        <f t="shared" si="15"/>
        <v>7.3846153846153867E-2</v>
      </c>
    </row>
    <row r="200" spans="1:9" ht="18" customHeight="1">
      <c r="A200" s="1485"/>
      <c r="B200" s="1373"/>
      <c r="C200" s="868" t="s">
        <v>22</v>
      </c>
      <c r="D200" s="110" t="str">
        <f>'1.Dati'!D101</f>
        <v>PiO2</v>
      </c>
      <c r="E200" s="890">
        <f t="shared" si="13"/>
        <v>0.6</v>
      </c>
      <c r="F200" s="890">
        <v>0</v>
      </c>
      <c r="G200" s="856">
        <f>'3.Hd'!G43</f>
        <v>0.31246355597199493</v>
      </c>
      <c r="H200" s="856">
        <f>'3.Hd'!H43</f>
        <v>1.62</v>
      </c>
      <c r="I200" s="890">
        <v>0</v>
      </c>
    </row>
    <row r="201" spans="1:9" ht="18" customHeight="1">
      <c r="A201" s="1485"/>
      <c r="B201" s="1373"/>
      <c r="C201" s="869"/>
      <c r="D201" s="876" t="str">
        <f>'1.Dati'!D102</f>
        <v>SR1</v>
      </c>
      <c r="E201" s="892">
        <v>0</v>
      </c>
      <c r="F201" s="858">
        <v>0</v>
      </c>
      <c r="G201" s="858">
        <v>0</v>
      </c>
      <c r="H201" s="858">
        <v>0</v>
      </c>
      <c r="I201" s="858">
        <f t="shared" ref="I201" si="25">E201*F201*G201*H201</f>
        <v>0</v>
      </c>
    </row>
    <row r="202" spans="1:9" ht="15" customHeight="1">
      <c r="A202" s="1485"/>
      <c r="B202" s="1373"/>
      <c r="C202" s="868" t="s">
        <v>803</v>
      </c>
      <c r="D202" s="875" t="str">
        <f>'1.Dati'!D103</f>
        <v>PiN2</v>
      </c>
      <c r="E202" s="891">
        <f t="shared" si="13"/>
        <v>0.6</v>
      </c>
      <c r="F202" s="857">
        <f t="shared" si="14"/>
        <v>0.04</v>
      </c>
      <c r="G202" s="857">
        <f>'3.Hd'!G45</f>
        <v>0.31246355597199493</v>
      </c>
      <c r="H202" s="857">
        <f>'3.Hd'!H45</f>
        <v>4.0500000000000007</v>
      </c>
      <c r="I202" s="857">
        <f t="shared" si="15"/>
        <v>3.0371457640477915E-2</v>
      </c>
    </row>
    <row r="203" spans="1:9">
      <c r="A203" s="1485"/>
      <c r="B203" s="1373"/>
      <c r="C203" s="866"/>
      <c r="D203" s="875" t="str">
        <f>'1.Dati'!D104</f>
        <v>PiO2</v>
      </c>
      <c r="E203" s="891">
        <f t="shared" si="13"/>
        <v>0.6</v>
      </c>
      <c r="F203" s="857">
        <f t="shared" si="14"/>
        <v>0.04</v>
      </c>
      <c r="G203" s="857">
        <f>'3.Hd'!G46</f>
        <v>0.31246355597199493</v>
      </c>
      <c r="H203" s="857">
        <f>'3.Hd'!H46</f>
        <v>4.5090000000000003</v>
      </c>
      <c r="I203" s="857">
        <f t="shared" si="15"/>
        <v>3.3813556173065411E-2</v>
      </c>
    </row>
    <row r="204" spans="1:9" ht="15" customHeight="1">
      <c r="A204" s="1485"/>
      <c r="B204" s="1373"/>
      <c r="C204" s="869"/>
      <c r="D204" s="875" t="str">
        <f>'1.Dati'!D105</f>
        <v>SW3</v>
      </c>
      <c r="E204" s="891">
        <v>0</v>
      </c>
      <c r="F204" s="857">
        <v>0</v>
      </c>
      <c r="G204" s="857">
        <v>0</v>
      </c>
      <c r="H204" s="857">
        <v>0</v>
      </c>
      <c r="I204" s="857">
        <f t="shared" ref="I204" si="26">E204*F204*G204*H204</f>
        <v>0</v>
      </c>
    </row>
    <row r="205" spans="1:9" ht="15" customHeight="1">
      <c r="A205" s="1485"/>
      <c r="B205" s="1373"/>
      <c r="C205" s="868" t="s">
        <v>802</v>
      </c>
      <c r="D205" s="110" t="str">
        <f>'1.Dati'!D106</f>
        <v>PS3</v>
      </c>
      <c r="E205" s="890">
        <f t="shared" si="13"/>
        <v>0.6</v>
      </c>
      <c r="F205" s="856">
        <f t="shared" si="14"/>
        <v>0.04</v>
      </c>
      <c r="G205" s="856">
        <f>'3.Hd'!G48</f>
        <v>0.15117690925050431</v>
      </c>
      <c r="H205" s="856">
        <f>'3.Hd'!H48</f>
        <v>9.4500000000000011</v>
      </c>
      <c r="I205" s="856">
        <f t="shared" si="15"/>
        <v>3.4286923018014379E-2</v>
      </c>
    </row>
    <row r="206" spans="1:9">
      <c r="A206" s="1485"/>
      <c r="B206" s="1373"/>
      <c r="C206" s="869"/>
      <c r="D206" s="876" t="str">
        <f>'1.Dati'!D107</f>
        <v>SL3</v>
      </c>
      <c r="E206" s="892">
        <v>0</v>
      </c>
      <c r="F206" s="858">
        <v>0</v>
      </c>
      <c r="G206" s="858">
        <v>0</v>
      </c>
      <c r="H206" s="858">
        <v>0</v>
      </c>
      <c r="I206" s="858">
        <f t="shared" ref="I206" si="27">E206*F206*G206*H206</f>
        <v>0</v>
      </c>
    </row>
    <row r="207" spans="1:9">
      <c r="A207" s="1485"/>
      <c r="B207" s="1373"/>
      <c r="C207" s="868" t="s">
        <v>587</v>
      </c>
      <c r="D207" s="875" t="str">
        <f>'1.Dati'!D108</f>
        <v>PS2</v>
      </c>
      <c r="E207" s="891">
        <f t="shared" si="13"/>
        <v>0.6</v>
      </c>
      <c r="F207" s="857">
        <f t="shared" si="14"/>
        <v>0.04</v>
      </c>
      <c r="G207" s="857">
        <f>'3.Hd'!G50</f>
        <v>0.15117690925050431</v>
      </c>
      <c r="H207" s="857">
        <f>'3.Hd'!H50</f>
        <v>5.4</v>
      </c>
      <c r="I207" s="857">
        <f t="shared" si="15"/>
        <v>1.9592527438865359E-2</v>
      </c>
    </row>
    <row r="208" spans="1:9">
      <c r="A208" s="1485"/>
      <c r="B208" s="1373"/>
      <c r="C208" s="869"/>
      <c r="D208" s="875" t="str">
        <f>'1.Dati'!D109</f>
        <v>SW3</v>
      </c>
      <c r="E208" s="891">
        <v>0</v>
      </c>
      <c r="F208" s="857">
        <v>0</v>
      </c>
      <c r="G208" s="857">
        <v>0</v>
      </c>
      <c r="H208" s="857">
        <v>0</v>
      </c>
      <c r="I208" s="857">
        <f t="shared" ref="I208" si="28">E208*F208*G208*H208</f>
        <v>0</v>
      </c>
    </row>
    <row r="209" spans="1:10">
      <c r="A209" s="1485"/>
      <c r="B209" s="1373"/>
      <c r="C209" s="868" t="s">
        <v>20</v>
      </c>
      <c r="D209" s="110" t="str">
        <f>'1.Dati'!D110</f>
        <v>PS1</v>
      </c>
      <c r="E209" s="890">
        <f t="shared" si="13"/>
        <v>0.6</v>
      </c>
      <c r="F209" s="856">
        <f t="shared" si="14"/>
        <v>0.04</v>
      </c>
      <c r="G209" s="856">
        <f>'3.Hd'!G52</f>
        <v>0.15117690925050431</v>
      </c>
      <c r="H209" s="856">
        <f>'3.Hd'!H52</f>
        <v>9.5850000000000009</v>
      </c>
      <c r="I209" s="856">
        <f t="shared" si="15"/>
        <v>3.4776736203986011E-2</v>
      </c>
    </row>
    <row r="210" spans="1:10">
      <c r="A210" s="1485"/>
      <c r="B210" s="1373"/>
      <c r="C210" s="870"/>
      <c r="D210" s="875" t="str">
        <f>'1.Dati'!D111</f>
        <v>P04</v>
      </c>
      <c r="E210" s="891">
        <f t="shared" si="13"/>
        <v>0.6</v>
      </c>
      <c r="F210" s="938">
        <f t="shared" si="14"/>
        <v>0.04</v>
      </c>
      <c r="G210" s="938">
        <f>'3.Hd'!G53</f>
        <v>0.15117690925050431</v>
      </c>
      <c r="H210" s="938">
        <f>'3.Hd'!H53</f>
        <v>9.9360000000000017</v>
      </c>
      <c r="I210" s="938">
        <f t="shared" si="15"/>
        <v>3.6050250487512266E-2</v>
      </c>
      <c r="J210" s="14"/>
    </row>
    <row r="211" spans="1:10">
      <c r="A211" s="1485"/>
      <c r="B211" s="1373"/>
      <c r="C211" s="871"/>
      <c r="D211" s="876" t="str">
        <f>'1.Dati'!D112</f>
        <v>SL2</v>
      </c>
      <c r="E211" s="892">
        <v>0</v>
      </c>
      <c r="F211" s="858">
        <v>0</v>
      </c>
      <c r="G211" s="858">
        <v>0</v>
      </c>
      <c r="H211" s="858">
        <v>0</v>
      </c>
      <c r="I211" s="858">
        <f t="shared" ref="I211" si="29">E211*F211*G211*H211</f>
        <v>0</v>
      </c>
      <c r="J211" s="14"/>
    </row>
    <row r="212" spans="1:10">
      <c r="A212" s="1485"/>
      <c r="B212" s="1373"/>
      <c r="C212" s="868" t="s">
        <v>586</v>
      </c>
      <c r="D212" s="875" t="str">
        <f>'1.Dati'!D113</f>
        <v>PO3</v>
      </c>
      <c r="E212" s="891">
        <f t="shared" si="13"/>
        <v>0.6</v>
      </c>
      <c r="F212" s="937">
        <f t="shared" si="14"/>
        <v>0.04</v>
      </c>
      <c r="G212" s="857">
        <f>'3.Hd'!G55</f>
        <v>0.15117690925050431</v>
      </c>
      <c r="H212" s="857">
        <f>'3.Hd'!H55</f>
        <v>7.7220000000000004</v>
      </c>
      <c r="I212" s="937">
        <f t="shared" si="15"/>
        <v>2.8017314237577463E-2</v>
      </c>
      <c r="J212" s="14"/>
    </row>
    <row r="213" spans="1:10">
      <c r="A213" s="1485"/>
      <c r="B213" s="1373"/>
      <c r="C213" s="871"/>
      <c r="D213" s="875" t="str">
        <f>'1.Dati'!D114</f>
        <v>SW1</v>
      </c>
      <c r="E213" s="891">
        <v>0</v>
      </c>
      <c r="F213" s="857">
        <v>0</v>
      </c>
      <c r="G213" s="857">
        <v>0</v>
      </c>
      <c r="H213" s="857">
        <v>0</v>
      </c>
      <c r="I213" s="857">
        <f t="shared" ref="I213" si="30">E213*F213*G213*H213</f>
        <v>0</v>
      </c>
      <c r="J213" s="14"/>
    </row>
    <row r="214" spans="1:10">
      <c r="A214" s="1485"/>
      <c r="B214" s="1373"/>
      <c r="C214" s="868" t="s">
        <v>19</v>
      </c>
      <c r="D214" s="110" t="str">
        <f>'1.Dati'!D115</f>
        <v>PO2</v>
      </c>
      <c r="E214" s="890">
        <f t="shared" si="13"/>
        <v>0.6</v>
      </c>
      <c r="F214" s="856">
        <f t="shared" si="14"/>
        <v>0.04</v>
      </c>
      <c r="G214" s="856">
        <f>'3.Hd'!G57</f>
        <v>0.15117690925050431</v>
      </c>
      <c r="H214" s="856">
        <f>'3.Hd'!H57</f>
        <v>8.6669999999999998</v>
      </c>
      <c r="I214" s="856">
        <f t="shared" si="15"/>
        <v>3.1446006539378901E-2</v>
      </c>
      <c r="J214" s="14"/>
    </row>
    <row r="215" spans="1:10">
      <c r="A215" s="1485"/>
      <c r="B215" s="1373"/>
      <c r="C215" s="870"/>
      <c r="D215" s="875" t="str">
        <f>'1.Dati'!D116</f>
        <v>PiE2</v>
      </c>
      <c r="E215" s="891">
        <f t="shared" si="13"/>
        <v>0.6</v>
      </c>
      <c r="F215" s="857">
        <f t="shared" si="14"/>
        <v>0.04</v>
      </c>
      <c r="G215" s="857">
        <f>'3.Hd'!G58</f>
        <v>0.31246355597199493</v>
      </c>
      <c r="H215" s="857">
        <f>'3.Hd'!H58</f>
        <v>11.07</v>
      </c>
      <c r="I215" s="857">
        <f t="shared" si="15"/>
        <v>8.3015317550639622E-2</v>
      </c>
      <c r="J215" s="14"/>
    </row>
    <row r="216" spans="1:10">
      <c r="A216" s="1486"/>
      <c r="B216" s="1374"/>
      <c r="C216" s="871"/>
      <c r="D216" s="876" t="str">
        <f>'1.Dati'!D117</f>
        <v>SL1</v>
      </c>
      <c r="E216" s="892">
        <v>0</v>
      </c>
      <c r="F216" s="858">
        <v>0</v>
      </c>
      <c r="G216" s="858">
        <v>0</v>
      </c>
      <c r="H216" s="858">
        <v>0</v>
      </c>
      <c r="I216" s="858">
        <f t="shared" ref="I216" si="31">E216*F216*G216*H216</f>
        <v>0</v>
      </c>
      <c r="J216" s="14"/>
    </row>
    <row r="217" spans="1:10">
      <c r="A217" s="1369" t="s">
        <v>835</v>
      </c>
      <c r="B217" s="1481" t="s">
        <v>809</v>
      </c>
      <c r="C217" s="868" t="s">
        <v>9</v>
      </c>
      <c r="D217" s="875" t="str">
        <f>'1.Dati'!J66</f>
        <v>PO1</v>
      </c>
      <c r="E217" s="891">
        <f t="shared" si="13"/>
        <v>0.6</v>
      </c>
      <c r="F217" s="857">
        <f t="shared" si="14"/>
        <v>0.04</v>
      </c>
      <c r="G217" s="857">
        <f>'3.Hd'!G70</f>
        <v>0.15117690925050431</v>
      </c>
      <c r="H217" s="857">
        <f>'3.Hd'!H70</f>
        <v>8.91</v>
      </c>
      <c r="I217" s="857">
        <f t="shared" si="15"/>
        <v>3.2327670274127841E-2</v>
      </c>
      <c r="J217" s="14"/>
    </row>
    <row r="218" spans="1:10">
      <c r="A218" s="1370"/>
      <c r="B218" s="1482"/>
      <c r="C218" s="869"/>
      <c r="D218" s="875" t="str">
        <f>'1.Dati'!J67</f>
        <v>PNO1</v>
      </c>
      <c r="E218" s="891">
        <f t="shared" si="13"/>
        <v>0.6</v>
      </c>
      <c r="F218" s="857">
        <f t="shared" si="14"/>
        <v>0.04</v>
      </c>
      <c r="G218" s="857">
        <f>'3.Hd'!G71</f>
        <v>0.15117690925050431</v>
      </c>
      <c r="H218" s="857">
        <f>'3.Hd'!H71</f>
        <v>5.8049999999999997</v>
      </c>
      <c r="I218" s="857">
        <f t="shared" si="15"/>
        <v>2.106196699678026E-2</v>
      </c>
      <c r="J218" s="14"/>
    </row>
    <row r="219" spans="1:10">
      <c r="A219" s="1370"/>
      <c r="B219" s="1482"/>
      <c r="C219" s="866" t="s">
        <v>804</v>
      </c>
      <c r="D219" s="110" t="str">
        <f>'1.Dati'!J68</f>
        <v>PNO2</v>
      </c>
      <c r="E219" s="890">
        <f t="shared" si="13"/>
        <v>0.6</v>
      </c>
      <c r="F219" s="856">
        <f t="shared" si="14"/>
        <v>0.04</v>
      </c>
      <c r="G219" s="856">
        <f>'3.Hd'!G72</f>
        <v>0.15117690925050431</v>
      </c>
      <c r="H219" s="856">
        <f>'3.Hd'!H72</f>
        <v>13.716000000000001</v>
      </c>
      <c r="I219" s="856">
        <f t="shared" si="15"/>
        <v>4.9765019694718013E-2</v>
      </c>
      <c r="J219" s="14"/>
    </row>
    <row r="220" spans="1:10">
      <c r="A220" s="1370"/>
      <c r="B220" s="1482"/>
      <c r="C220" s="866"/>
      <c r="D220" s="875" t="str">
        <f>'1.Dati'!J69</f>
        <v>PN1</v>
      </c>
      <c r="E220" s="891">
        <f t="shared" si="13"/>
        <v>0.6</v>
      </c>
      <c r="F220" s="945">
        <f>$F$167</f>
        <v>0.04</v>
      </c>
      <c r="G220" s="857">
        <f>'3.Hd'!G73</f>
        <v>0.15117690925050431</v>
      </c>
      <c r="H220" s="857">
        <f>'3.Hd'!H73</f>
        <v>10.692</v>
      </c>
      <c r="I220" s="945">
        <f t="shared" si="15"/>
        <v>3.8793204328953411E-2</v>
      </c>
      <c r="J220" s="14"/>
    </row>
    <row r="221" spans="1:10">
      <c r="A221" s="1370"/>
      <c r="B221" s="1482"/>
      <c r="C221" s="866"/>
      <c r="D221" s="875" t="str">
        <f>'1.Dati'!J70</f>
        <v>PiS1</v>
      </c>
      <c r="E221" s="891">
        <f t="shared" si="13"/>
        <v>0.6</v>
      </c>
      <c r="F221" s="891">
        <v>0</v>
      </c>
      <c r="G221" s="857">
        <f>'3.Hd'!G74</f>
        <v>0.31246355597199493</v>
      </c>
      <c r="H221" s="857">
        <f>'3.Hd'!H74</f>
        <v>11.151</v>
      </c>
      <c r="I221" s="891">
        <v>0</v>
      </c>
      <c r="J221" s="14"/>
    </row>
    <row r="222" spans="1:10">
      <c r="A222" s="1370"/>
      <c r="B222" s="1482"/>
      <c r="C222" s="869"/>
      <c r="D222" s="876" t="str">
        <f>'1.Dati'!J71</f>
        <v>PiI1</v>
      </c>
      <c r="E222" s="892">
        <f t="shared" si="13"/>
        <v>0.6</v>
      </c>
      <c r="F222" s="892">
        <v>0</v>
      </c>
      <c r="G222" s="858">
        <f>'3.Hd'!G75</f>
        <v>1.3986013986013988</v>
      </c>
      <c r="H222" s="858">
        <f>'3.Hd'!H75</f>
        <v>2.2000000000000002</v>
      </c>
      <c r="I222" s="892">
        <v>0</v>
      </c>
      <c r="J222" s="14"/>
    </row>
    <row r="223" spans="1:10" ht="15" customHeight="1">
      <c r="A223" s="1370"/>
      <c r="B223" s="1482"/>
      <c r="C223" s="868" t="s">
        <v>22</v>
      </c>
      <c r="D223" s="875" t="str">
        <f>'1.Dati'!J72</f>
        <v>PiE1</v>
      </c>
      <c r="E223" s="891">
        <f t="shared" si="13"/>
        <v>0.6</v>
      </c>
      <c r="F223" s="857">
        <f t="shared" si="14"/>
        <v>0.04</v>
      </c>
      <c r="G223" s="857">
        <f>'3.Hd'!G76</f>
        <v>0.31246355597199493</v>
      </c>
      <c r="H223" s="857">
        <f>'3.Hd'!H76</f>
        <v>1.62</v>
      </c>
      <c r="I223" s="857">
        <f t="shared" si="15"/>
        <v>1.2148583056191164E-2</v>
      </c>
      <c r="J223" s="14"/>
    </row>
    <row r="224" spans="1:10">
      <c r="A224" s="1370"/>
      <c r="B224" s="1482"/>
      <c r="C224" s="868" t="s">
        <v>803</v>
      </c>
      <c r="D224" s="110" t="str">
        <f>'1.Dati'!J73</f>
        <v>PiS2</v>
      </c>
      <c r="E224" s="890">
        <f t="shared" si="13"/>
        <v>0.6</v>
      </c>
      <c r="F224" s="856">
        <f t="shared" si="14"/>
        <v>0.04</v>
      </c>
      <c r="G224" s="856">
        <f>'3.Hd'!G77</f>
        <v>0.31246355597199493</v>
      </c>
      <c r="H224" s="856">
        <f>'3.Hd'!H77</f>
        <v>4.0500000000000007</v>
      </c>
      <c r="I224" s="856">
        <f t="shared" si="15"/>
        <v>3.0371457640477915E-2</v>
      </c>
      <c r="J224" s="14"/>
    </row>
    <row r="225" spans="1:17">
      <c r="A225" s="1370"/>
      <c r="B225" s="1482"/>
      <c r="C225" s="866"/>
      <c r="D225" s="876" t="str">
        <f>'1.Dati'!J74</f>
        <v>PiE2</v>
      </c>
      <c r="E225" s="892">
        <f t="shared" si="13"/>
        <v>0.6</v>
      </c>
      <c r="F225" s="858">
        <f t="shared" si="14"/>
        <v>0.04</v>
      </c>
      <c r="G225" s="858">
        <f>'3.Hd'!G78</f>
        <v>0.31246355597199493</v>
      </c>
      <c r="H225" s="858">
        <f>'3.Hd'!H78</f>
        <v>4.5090000000000003</v>
      </c>
      <c r="I225" s="858">
        <f t="shared" si="15"/>
        <v>3.3813556173065411E-2</v>
      </c>
      <c r="J225" s="14"/>
    </row>
    <row r="226" spans="1:17">
      <c r="A226" s="1370"/>
      <c r="B226" s="1482"/>
      <c r="C226" s="868" t="s">
        <v>802</v>
      </c>
      <c r="D226" s="875" t="str">
        <f>'1.Dati'!J75</f>
        <v>PN2</v>
      </c>
      <c r="E226" s="891">
        <f t="shared" si="13"/>
        <v>0.6</v>
      </c>
      <c r="F226" s="857">
        <f t="shared" si="14"/>
        <v>0.04</v>
      </c>
      <c r="G226" s="857">
        <f>'3.Hd'!G79</f>
        <v>0.15117690925050431</v>
      </c>
      <c r="H226" s="857">
        <f>'3.Hd'!H79</f>
        <v>9.4500000000000011</v>
      </c>
      <c r="I226" s="857">
        <f t="shared" ref="I226:I248" si="32">E226*F226*G226*H226</f>
        <v>3.4286923018014379E-2</v>
      </c>
      <c r="J226" s="14"/>
    </row>
    <row r="227" spans="1:17">
      <c r="A227" s="1370"/>
      <c r="B227" s="1482"/>
      <c r="C227" s="868" t="s">
        <v>587</v>
      </c>
      <c r="D227" s="130" t="str">
        <f>'1.Dati'!J76</f>
        <v>PN3</v>
      </c>
      <c r="E227" s="167">
        <f t="shared" si="13"/>
        <v>0.6</v>
      </c>
      <c r="F227" s="861">
        <f t="shared" si="14"/>
        <v>0.04</v>
      </c>
      <c r="G227" s="861">
        <f>'3.Hd'!G80</f>
        <v>0.15117690925050431</v>
      </c>
      <c r="H227" s="861">
        <f>'3.Hd'!H80</f>
        <v>5.4</v>
      </c>
      <c r="I227" s="861">
        <f t="shared" si="32"/>
        <v>1.9592527438865359E-2</v>
      </c>
      <c r="J227" s="14"/>
      <c r="K227" s="560"/>
      <c r="L227" s="560"/>
      <c r="M227" s="560"/>
      <c r="N227" s="560"/>
      <c r="O227" s="560"/>
      <c r="P227" s="560"/>
      <c r="Q227" s="560"/>
    </row>
    <row r="228" spans="1:17">
      <c r="A228" s="1370"/>
      <c r="B228" s="1482"/>
      <c r="C228" s="868" t="s">
        <v>20</v>
      </c>
      <c r="D228" s="875" t="str">
        <f>'1.Dati'!J77</f>
        <v>PN4</v>
      </c>
      <c r="E228" s="891">
        <f t="shared" si="13"/>
        <v>0.6</v>
      </c>
      <c r="F228" s="857">
        <f t="shared" si="14"/>
        <v>0.04</v>
      </c>
      <c r="G228" s="857">
        <f>'3.Hd'!G81</f>
        <v>0.15117690925050431</v>
      </c>
      <c r="H228" s="857">
        <f>'3.Hd'!H81</f>
        <v>9.5850000000000009</v>
      </c>
      <c r="I228" s="857">
        <f t="shared" si="32"/>
        <v>3.4776736203986011E-2</v>
      </c>
      <c r="J228" s="14"/>
      <c r="K228" s="560"/>
      <c r="L228" s="560"/>
      <c r="M228" s="560"/>
      <c r="N228" s="560"/>
      <c r="O228" s="560"/>
      <c r="P228" s="560"/>
      <c r="Q228" s="560"/>
    </row>
    <row r="229" spans="1:17">
      <c r="A229" s="1370"/>
      <c r="B229" s="1482"/>
      <c r="C229" s="870"/>
      <c r="D229" s="875" t="str">
        <f>'1.Dati'!J78</f>
        <v>PE1</v>
      </c>
      <c r="E229" s="891">
        <f t="shared" si="13"/>
        <v>0.6</v>
      </c>
      <c r="F229" s="857">
        <f t="shared" si="14"/>
        <v>0.04</v>
      </c>
      <c r="G229" s="857">
        <f>'3.Hd'!G82</f>
        <v>0.15117690925050431</v>
      </c>
      <c r="H229" s="857">
        <f>'3.Hd'!H82</f>
        <v>9.9360000000000017</v>
      </c>
      <c r="I229" s="857">
        <f t="shared" si="32"/>
        <v>3.6050250487512266E-2</v>
      </c>
      <c r="J229" s="14"/>
      <c r="K229" s="560"/>
      <c r="L229" s="560"/>
      <c r="M229" s="560"/>
      <c r="N229" s="560"/>
      <c r="O229" s="560"/>
      <c r="P229" s="560"/>
      <c r="Q229" s="560"/>
    </row>
    <row r="230" spans="1:17">
      <c r="A230" s="1370"/>
      <c r="B230" s="1482"/>
      <c r="C230" s="868" t="s">
        <v>586</v>
      </c>
      <c r="D230" s="130" t="str">
        <f>'1.Dati'!J79</f>
        <v>PE2</v>
      </c>
      <c r="E230" s="167">
        <f t="shared" si="13"/>
        <v>0.6</v>
      </c>
      <c r="F230" s="861">
        <f t="shared" si="14"/>
        <v>0.04</v>
      </c>
      <c r="G230" s="861">
        <f>'3.Hd'!G83</f>
        <v>0.15117690925050431</v>
      </c>
      <c r="H230" s="861">
        <f>'3.Hd'!H83</f>
        <v>7.7220000000000004</v>
      </c>
      <c r="I230" s="861">
        <f t="shared" si="32"/>
        <v>2.8017314237577463E-2</v>
      </c>
      <c r="J230" s="14"/>
      <c r="K230" s="560"/>
      <c r="L230" s="560"/>
      <c r="M230" s="560"/>
      <c r="N230" s="560"/>
      <c r="O230" s="560"/>
      <c r="P230" s="560"/>
      <c r="Q230" s="560"/>
    </row>
    <row r="231" spans="1:17">
      <c r="A231" s="1370"/>
      <c r="B231" s="1482"/>
      <c r="C231" s="868" t="s">
        <v>19</v>
      </c>
      <c r="D231" s="875" t="str">
        <f>'1.Dati'!J80</f>
        <v>PE3</v>
      </c>
      <c r="E231" s="891">
        <f t="shared" si="13"/>
        <v>0.6</v>
      </c>
      <c r="F231" s="857">
        <f t="shared" si="14"/>
        <v>0.04</v>
      </c>
      <c r="G231" s="857">
        <f>'3.Hd'!G84</f>
        <v>0.15117690925050431</v>
      </c>
      <c r="H231" s="857">
        <f>'3.Hd'!H84</f>
        <v>8.6669999999999998</v>
      </c>
      <c r="I231" s="857">
        <f t="shared" si="32"/>
        <v>3.1446006539378901E-2</v>
      </c>
      <c r="J231" s="14"/>
      <c r="K231" s="560"/>
      <c r="L231" s="560"/>
      <c r="M231" s="560"/>
      <c r="N231" s="560"/>
      <c r="O231" s="560"/>
      <c r="P231" s="560"/>
      <c r="Q231" s="560"/>
    </row>
    <row r="232" spans="1:17">
      <c r="A232" s="1370"/>
      <c r="B232" s="1482"/>
      <c r="C232" s="870"/>
      <c r="D232" s="875" t="str">
        <f>'1.Dati'!J81</f>
        <v>PiO1</v>
      </c>
      <c r="E232" s="891">
        <f t="shared" si="13"/>
        <v>0.6</v>
      </c>
      <c r="F232" s="857">
        <f t="shared" si="14"/>
        <v>0.04</v>
      </c>
      <c r="G232" s="857">
        <f>'3.Hd'!G85</f>
        <v>0.31246355597199493</v>
      </c>
      <c r="H232" s="857">
        <f>'3.Hd'!H85</f>
        <v>11.07</v>
      </c>
      <c r="I232" s="857">
        <f t="shared" si="32"/>
        <v>8.3015317550639622E-2</v>
      </c>
      <c r="J232" s="14"/>
      <c r="K232" s="560"/>
      <c r="L232" s="560"/>
      <c r="M232" s="560"/>
      <c r="N232" s="560"/>
      <c r="O232" s="560"/>
      <c r="P232" s="560"/>
      <c r="Q232" s="560"/>
    </row>
    <row r="233" spans="1:17">
      <c r="A233" s="1370"/>
      <c r="B233" s="1372" t="s">
        <v>810</v>
      </c>
      <c r="C233" s="868" t="s">
        <v>9</v>
      </c>
      <c r="D233" s="110" t="str">
        <f>'1.Dati'!J83</f>
        <v>PE4</v>
      </c>
      <c r="E233" s="890">
        <f t="shared" ref="E233:E296" si="33">$E$167</f>
        <v>0.6</v>
      </c>
      <c r="F233" s="856">
        <f t="shared" ref="F233:F296" si="34">$F$167</f>
        <v>0.04</v>
      </c>
      <c r="G233" s="856">
        <f>'3.Hd'!G87</f>
        <v>0.15117690925050431</v>
      </c>
      <c r="H233" s="856">
        <f>'3.Hd'!H87</f>
        <v>8.91</v>
      </c>
      <c r="I233" s="856">
        <f t="shared" si="32"/>
        <v>3.2327670274127841E-2</v>
      </c>
      <c r="J233" s="14"/>
      <c r="K233" s="560"/>
      <c r="L233" s="560"/>
      <c r="M233" s="560"/>
      <c r="N233" s="560"/>
      <c r="O233" s="560"/>
      <c r="P233" s="560"/>
      <c r="Q233" s="560"/>
    </row>
    <row r="234" spans="1:17">
      <c r="A234" s="1370"/>
      <c r="B234" s="1373"/>
      <c r="C234" s="869"/>
      <c r="D234" s="876" t="str">
        <f>'1.Dati'!J84</f>
        <v>PSE2</v>
      </c>
      <c r="E234" s="892">
        <f t="shared" si="33"/>
        <v>0.6</v>
      </c>
      <c r="F234" s="858">
        <f t="shared" si="34"/>
        <v>0.04</v>
      </c>
      <c r="G234" s="858">
        <f>'3.Hd'!G88</f>
        <v>0.15117690925050431</v>
      </c>
      <c r="H234" s="858">
        <f>'3.Hd'!H88</f>
        <v>5.8049999999999997</v>
      </c>
      <c r="I234" s="858">
        <f t="shared" si="32"/>
        <v>2.106196699678026E-2</v>
      </c>
      <c r="J234" s="14"/>
      <c r="K234" s="560"/>
      <c r="L234" s="560"/>
      <c r="M234" s="560"/>
      <c r="N234" s="560"/>
      <c r="O234" s="560"/>
      <c r="P234" s="560"/>
      <c r="Q234" s="560"/>
    </row>
    <row r="235" spans="1:17">
      <c r="A235" s="1370"/>
      <c r="B235" s="1373"/>
      <c r="C235" s="866" t="s">
        <v>804</v>
      </c>
      <c r="D235" s="875" t="str">
        <f>'1.Dati'!J85</f>
        <v>PSE1</v>
      </c>
      <c r="E235" s="891">
        <f t="shared" si="33"/>
        <v>0.6</v>
      </c>
      <c r="F235" s="857">
        <f t="shared" si="34"/>
        <v>0.04</v>
      </c>
      <c r="G235" s="857">
        <f>'3.Hd'!G89</f>
        <v>0.15117690925050431</v>
      </c>
      <c r="H235" s="857">
        <f>'3.Hd'!H89</f>
        <v>13.716000000000001</v>
      </c>
      <c r="I235" s="857">
        <f t="shared" si="32"/>
        <v>4.9765019694718013E-2</v>
      </c>
      <c r="J235" s="14"/>
      <c r="K235" s="560"/>
      <c r="L235" s="560"/>
      <c r="M235" s="560"/>
      <c r="N235" s="560"/>
      <c r="O235" s="560"/>
      <c r="P235" s="560"/>
      <c r="Q235" s="560"/>
    </row>
    <row r="236" spans="1:17">
      <c r="A236" s="1370"/>
      <c r="B236" s="1373"/>
      <c r="C236" s="866"/>
      <c r="D236" s="875" t="str">
        <f>'1.Dati'!J86</f>
        <v>PS4</v>
      </c>
      <c r="E236" s="891">
        <f t="shared" si="33"/>
        <v>0.6</v>
      </c>
      <c r="F236" s="857">
        <f t="shared" si="34"/>
        <v>0.04</v>
      </c>
      <c r="G236" s="857">
        <f>'3.Hd'!G90</f>
        <v>0.15117690925050431</v>
      </c>
      <c r="H236" s="857">
        <f>'3.Hd'!H90</f>
        <v>10.692</v>
      </c>
      <c r="I236" s="857">
        <f t="shared" si="32"/>
        <v>3.8793204328953411E-2</v>
      </c>
      <c r="J236" s="14"/>
      <c r="K236" s="560"/>
      <c r="L236" s="560"/>
      <c r="M236" s="560"/>
      <c r="N236" s="560"/>
      <c r="O236" s="560"/>
      <c r="P236" s="560"/>
      <c r="Q236" s="560"/>
    </row>
    <row r="237" spans="1:17">
      <c r="A237" s="1370"/>
      <c r="B237" s="1373"/>
      <c r="C237" s="866"/>
      <c r="D237" s="875" t="str">
        <f>'1.Dati'!J87</f>
        <v>PiS1</v>
      </c>
      <c r="E237" s="891">
        <f t="shared" si="33"/>
        <v>0.6</v>
      </c>
      <c r="F237" s="857">
        <f t="shared" si="34"/>
        <v>0.04</v>
      </c>
      <c r="G237" s="857">
        <f>'3.Hd'!G91</f>
        <v>0.31246355597199493</v>
      </c>
      <c r="H237" s="857">
        <f>'3.Hd'!H91</f>
        <v>11.151</v>
      </c>
      <c r="I237" s="857">
        <f t="shared" si="32"/>
        <v>8.3622746703449172E-2</v>
      </c>
      <c r="J237" s="14"/>
      <c r="K237" s="560"/>
      <c r="L237" s="560"/>
      <c r="M237" s="560"/>
      <c r="N237" s="560"/>
      <c r="O237" s="560"/>
      <c r="P237" s="560"/>
      <c r="Q237" s="560"/>
    </row>
    <row r="238" spans="1:17">
      <c r="A238" s="1370"/>
      <c r="B238" s="1373"/>
      <c r="C238" s="869"/>
      <c r="D238" s="875" t="str">
        <f>'1.Dati'!J88</f>
        <v>PiI1</v>
      </c>
      <c r="E238" s="891">
        <f t="shared" si="33"/>
        <v>0.6</v>
      </c>
      <c r="F238" s="857">
        <f t="shared" si="34"/>
        <v>0.04</v>
      </c>
      <c r="G238" s="857">
        <f>'3.Hd'!G92</f>
        <v>1.3986013986013988</v>
      </c>
      <c r="H238" s="857">
        <f>'3.Hd'!H92</f>
        <v>2.2000000000000002</v>
      </c>
      <c r="I238" s="857">
        <f t="shared" si="32"/>
        <v>7.3846153846153867E-2</v>
      </c>
      <c r="J238" s="14"/>
      <c r="K238" s="560"/>
      <c r="L238" s="560"/>
      <c r="M238" s="560"/>
      <c r="N238" s="560"/>
      <c r="O238" s="560"/>
      <c r="P238" s="560"/>
      <c r="Q238" s="560"/>
    </row>
    <row r="239" spans="1:17">
      <c r="A239" s="1370"/>
      <c r="B239" s="1373"/>
      <c r="C239" s="868" t="s">
        <v>22</v>
      </c>
      <c r="D239" s="130" t="str">
        <f>'1.Dati'!J89</f>
        <v>PiE1</v>
      </c>
      <c r="E239" s="167">
        <f t="shared" si="33"/>
        <v>0.6</v>
      </c>
      <c r="F239" s="861">
        <f t="shared" si="34"/>
        <v>0.04</v>
      </c>
      <c r="G239" s="861">
        <f>'3.Hd'!G93</f>
        <v>0.31246355597199493</v>
      </c>
      <c r="H239" s="861">
        <f>'3.Hd'!H93</f>
        <v>1.62</v>
      </c>
      <c r="I239" s="861">
        <f t="shared" si="32"/>
        <v>1.2148583056191164E-2</v>
      </c>
      <c r="J239" s="14"/>
      <c r="K239" s="560"/>
      <c r="L239" s="560"/>
      <c r="M239" s="560"/>
      <c r="N239" s="560"/>
      <c r="O239" s="560"/>
      <c r="P239" s="560"/>
      <c r="Q239" s="560"/>
    </row>
    <row r="240" spans="1:17">
      <c r="A240" s="1370"/>
      <c r="B240" s="1373"/>
      <c r="C240" s="868" t="s">
        <v>803</v>
      </c>
      <c r="D240" s="875" t="str">
        <f>'1.Dati'!J90</f>
        <v>PiS2</v>
      </c>
      <c r="E240" s="891">
        <f t="shared" si="33"/>
        <v>0.6</v>
      </c>
      <c r="F240" s="857">
        <f t="shared" si="34"/>
        <v>0.04</v>
      </c>
      <c r="G240" s="857">
        <f>'3.Hd'!G94</f>
        <v>0.31246355597199493</v>
      </c>
      <c r="H240" s="857">
        <f>'3.Hd'!H94</f>
        <v>4.0500000000000007</v>
      </c>
      <c r="I240" s="857">
        <f t="shared" si="32"/>
        <v>3.0371457640477915E-2</v>
      </c>
      <c r="J240" s="14"/>
      <c r="K240" s="560"/>
      <c r="L240" s="560"/>
      <c r="M240" s="560"/>
      <c r="N240" s="560"/>
      <c r="O240" s="560"/>
      <c r="P240" s="560"/>
      <c r="Q240" s="560"/>
    </row>
    <row r="241" spans="1:17">
      <c r="A241" s="1370"/>
      <c r="B241" s="1373"/>
      <c r="C241" s="866"/>
      <c r="D241" s="875" t="str">
        <f>'1.Dati'!J91</f>
        <v>PiE2</v>
      </c>
      <c r="E241" s="891">
        <f t="shared" si="33"/>
        <v>0.6</v>
      </c>
      <c r="F241" s="857">
        <f t="shared" si="34"/>
        <v>0.04</v>
      </c>
      <c r="G241" s="857">
        <f>'3.Hd'!G95</f>
        <v>0.31246355597199493</v>
      </c>
      <c r="H241" s="857">
        <f>'3.Hd'!H95</f>
        <v>4.5090000000000003</v>
      </c>
      <c r="I241" s="857">
        <f t="shared" si="32"/>
        <v>3.3813556173065411E-2</v>
      </c>
      <c r="J241" s="14"/>
      <c r="K241" s="560"/>
      <c r="L241" s="560"/>
      <c r="M241" s="560"/>
      <c r="N241" s="560"/>
      <c r="O241" s="560"/>
      <c r="P241" s="560"/>
      <c r="Q241" s="560"/>
    </row>
    <row r="242" spans="1:17">
      <c r="A242" s="1370"/>
      <c r="B242" s="1373"/>
      <c r="C242" s="868" t="s">
        <v>802</v>
      </c>
      <c r="D242" s="130" t="str">
        <f>'1.Dati'!J92</f>
        <v>PS3</v>
      </c>
      <c r="E242" s="167">
        <f t="shared" si="33"/>
        <v>0.6</v>
      </c>
      <c r="F242" s="861">
        <f t="shared" si="34"/>
        <v>0.04</v>
      </c>
      <c r="G242" s="861">
        <f>'3.Hd'!G96</f>
        <v>0.15117690925050431</v>
      </c>
      <c r="H242" s="861">
        <f>'3.Hd'!H96</f>
        <v>9.4500000000000011</v>
      </c>
      <c r="I242" s="861">
        <f t="shared" si="32"/>
        <v>3.4286923018014379E-2</v>
      </c>
      <c r="J242" s="14"/>
      <c r="K242" s="560"/>
      <c r="L242" s="560"/>
      <c r="M242" s="560"/>
      <c r="N242" s="560"/>
      <c r="O242" s="560"/>
      <c r="P242" s="560"/>
      <c r="Q242" s="560"/>
    </row>
    <row r="243" spans="1:17">
      <c r="A243" s="1370"/>
      <c r="B243" s="1373"/>
      <c r="C243" s="868" t="s">
        <v>587</v>
      </c>
      <c r="D243" s="875" t="str">
        <f>'1.Dati'!J93</f>
        <v>PS2</v>
      </c>
      <c r="E243" s="891">
        <f t="shared" si="33"/>
        <v>0.6</v>
      </c>
      <c r="F243" s="857">
        <f t="shared" si="34"/>
        <v>0.04</v>
      </c>
      <c r="G243" s="857">
        <f>'3.Hd'!G97</f>
        <v>0.15117690925050431</v>
      </c>
      <c r="H243" s="857">
        <f>'3.Hd'!H97</f>
        <v>5.4</v>
      </c>
      <c r="I243" s="857">
        <f t="shared" si="32"/>
        <v>1.9592527438865359E-2</v>
      </c>
      <c r="J243" s="14"/>
      <c r="K243" s="560"/>
      <c r="L243" s="560"/>
      <c r="M243" s="560"/>
      <c r="N243" s="560"/>
      <c r="O243" s="560"/>
      <c r="P243" s="560"/>
      <c r="Q243" s="560"/>
    </row>
    <row r="244" spans="1:17">
      <c r="A244" s="1370"/>
      <c r="B244" s="1373"/>
      <c r="C244" s="868" t="s">
        <v>20</v>
      </c>
      <c r="D244" s="110" t="str">
        <f>'1.Dati'!J94</f>
        <v>PS1</v>
      </c>
      <c r="E244" s="890">
        <f t="shared" si="33"/>
        <v>0.6</v>
      </c>
      <c r="F244" s="856">
        <f t="shared" si="34"/>
        <v>0.04</v>
      </c>
      <c r="G244" s="856">
        <f>'3.Hd'!G98</f>
        <v>0.15117690925050431</v>
      </c>
      <c r="H244" s="856">
        <f>'3.Hd'!H98</f>
        <v>9.5850000000000009</v>
      </c>
      <c r="I244" s="856">
        <f t="shared" si="32"/>
        <v>3.4776736203986011E-2</v>
      </c>
      <c r="J244" s="14"/>
      <c r="K244" s="560"/>
      <c r="L244" s="560"/>
      <c r="M244" s="560"/>
      <c r="N244" s="560"/>
      <c r="O244" s="560"/>
      <c r="P244" s="560"/>
      <c r="Q244" s="560"/>
    </row>
    <row r="245" spans="1:17">
      <c r="A245" s="1370"/>
      <c r="B245" s="1373"/>
      <c r="C245" s="870"/>
      <c r="D245" s="876" t="str">
        <f>'1.Dati'!J95</f>
        <v>PO4</v>
      </c>
      <c r="E245" s="892">
        <f t="shared" si="33"/>
        <v>0.6</v>
      </c>
      <c r="F245" s="858">
        <f t="shared" si="34"/>
        <v>0.04</v>
      </c>
      <c r="G245" s="858">
        <f>'3.Hd'!G99</f>
        <v>0.15117690925050431</v>
      </c>
      <c r="H245" s="858">
        <f>'3.Hd'!H99</f>
        <v>9.9360000000000017</v>
      </c>
      <c r="I245" s="858">
        <f t="shared" si="32"/>
        <v>3.6050250487512266E-2</v>
      </c>
      <c r="J245" s="14"/>
      <c r="K245" s="560"/>
      <c r="L245" s="560"/>
      <c r="M245" s="560"/>
      <c r="N245" s="560"/>
      <c r="O245" s="560"/>
      <c r="P245" s="560"/>
      <c r="Q245" s="560"/>
    </row>
    <row r="246" spans="1:17">
      <c r="A246" s="1370"/>
      <c r="B246" s="1373"/>
      <c r="C246" s="868" t="s">
        <v>586</v>
      </c>
      <c r="D246" s="875" t="str">
        <f>'1.Dati'!J96</f>
        <v>PO3</v>
      </c>
      <c r="E246" s="891">
        <f t="shared" si="33"/>
        <v>0.6</v>
      </c>
      <c r="F246" s="857">
        <f t="shared" si="34"/>
        <v>0.04</v>
      </c>
      <c r="G246" s="857">
        <f>'3.Hd'!G100</f>
        <v>0.15117690925050431</v>
      </c>
      <c r="H246" s="857">
        <f>'3.Hd'!H100</f>
        <v>7.7220000000000004</v>
      </c>
      <c r="I246" s="857">
        <f t="shared" si="32"/>
        <v>2.8017314237577463E-2</v>
      </c>
      <c r="J246" s="14"/>
      <c r="K246" s="560"/>
      <c r="L246" s="560"/>
      <c r="M246" s="560"/>
      <c r="N246" s="560"/>
      <c r="O246" s="560"/>
      <c r="P246" s="560"/>
      <c r="Q246" s="560"/>
    </row>
    <row r="247" spans="1:17">
      <c r="A247" s="1370"/>
      <c r="B247" s="1373"/>
      <c r="C247" s="868" t="s">
        <v>19</v>
      </c>
      <c r="D247" s="110" t="str">
        <f>'1.Dati'!J97</f>
        <v>PO2</v>
      </c>
      <c r="E247" s="890">
        <f t="shared" si="33"/>
        <v>0.6</v>
      </c>
      <c r="F247" s="856">
        <f t="shared" si="34"/>
        <v>0.04</v>
      </c>
      <c r="G247" s="856">
        <f>'3.Hd'!G101</f>
        <v>0.15117690925050431</v>
      </c>
      <c r="H247" s="856">
        <f>'3.Hd'!H101</f>
        <v>8.6669999999999998</v>
      </c>
      <c r="I247" s="856">
        <f t="shared" si="32"/>
        <v>3.1446006539378901E-2</v>
      </c>
      <c r="J247" s="14"/>
      <c r="K247" s="560"/>
      <c r="L247" s="560"/>
      <c r="M247" s="560"/>
      <c r="N247" s="560"/>
      <c r="O247" s="560"/>
      <c r="P247" s="560"/>
      <c r="Q247" s="560"/>
    </row>
    <row r="248" spans="1:17">
      <c r="A248" s="1371"/>
      <c r="B248" s="1374"/>
      <c r="C248" s="871"/>
      <c r="D248" s="876" t="str">
        <f>'1.Dati'!J98</f>
        <v>PiO1</v>
      </c>
      <c r="E248" s="892">
        <f t="shared" si="33"/>
        <v>0.6</v>
      </c>
      <c r="F248" s="858">
        <f t="shared" si="34"/>
        <v>0.04</v>
      </c>
      <c r="G248" s="858">
        <f>'3.Hd'!G102</f>
        <v>0.31246355597199493</v>
      </c>
      <c r="H248" s="858">
        <f>'3.Hd'!H102</f>
        <v>11.07</v>
      </c>
      <c r="I248" s="858">
        <f t="shared" si="32"/>
        <v>8.3015317550639622E-2</v>
      </c>
      <c r="J248" s="14"/>
      <c r="K248" s="560"/>
      <c r="L248" s="560"/>
      <c r="M248" s="560"/>
      <c r="N248" s="560"/>
      <c r="O248" s="560"/>
      <c r="P248" s="560"/>
      <c r="Q248" s="560"/>
    </row>
    <row r="249" spans="1:17">
      <c r="A249" s="1369" t="s">
        <v>845</v>
      </c>
      <c r="B249" s="1481" t="s">
        <v>809</v>
      </c>
      <c r="C249" s="868" t="s">
        <v>9</v>
      </c>
      <c r="D249" s="875" t="str">
        <f>'1.Dati'!P66</f>
        <v>PO1</v>
      </c>
      <c r="E249" s="891">
        <f t="shared" si="33"/>
        <v>0.6</v>
      </c>
      <c r="F249" s="857">
        <f t="shared" si="34"/>
        <v>0.04</v>
      </c>
      <c r="G249" s="857">
        <f>'3.Hd'!G112</f>
        <v>0.15117690925050431</v>
      </c>
      <c r="H249" s="857">
        <f>'3.Hd'!H112</f>
        <v>8.91</v>
      </c>
      <c r="I249" s="857">
        <f t="shared" ref="I249:I298" si="35">E249*F249*G249*H249</f>
        <v>3.2327670274127841E-2</v>
      </c>
      <c r="J249" s="14"/>
      <c r="K249" s="560"/>
      <c r="L249" s="560"/>
      <c r="M249" s="560"/>
      <c r="N249" s="560"/>
      <c r="O249" s="560"/>
      <c r="P249" s="560"/>
      <c r="Q249" s="560"/>
    </row>
    <row r="250" spans="1:17">
      <c r="A250" s="1485"/>
      <c r="B250" s="1482"/>
      <c r="C250" s="866"/>
      <c r="D250" s="875" t="str">
        <f>'1.Dati'!P67</f>
        <v>PNO1</v>
      </c>
      <c r="E250" s="891">
        <f t="shared" si="33"/>
        <v>0.6</v>
      </c>
      <c r="F250" s="857">
        <f t="shared" si="34"/>
        <v>0.04</v>
      </c>
      <c r="G250" s="857">
        <f>'3.Hd'!G113</f>
        <v>0.15117690925050431</v>
      </c>
      <c r="H250" s="857">
        <f>'3.Hd'!H113</f>
        <v>5.8049999999999997</v>
      </c>
      <c r="I250" s="857">
        <f t="shared" si="35"/>
        <v>2.106196699678026E-2</v>
      </c>
      <c r="J250" s="14"/>
      <c r="K250" s="560"/>
      <c r="L250" s="560"/>
      <c r="M250" s="560"/>
      <c r="N250" s="560"/>
      <c r="O250" s="560"/>
      <c r="P250" s="560"/>
      <c r="Q250" s="560"/>
    </row>
    <row r="251" spans="1:17">
      <c r="A251" s="1485"/>
      <c r="B251" s="1482"/>
      <c r="C251" s="869"/>
      <c r="D251" s="875" t="str">
        <f>'1.Dati'!P68</f>
        <v>STC1</v>
      </c>
      <c r="E251" s="891">
        <v>0</v>
      </c>
      <c r="F251" s="857">
        <v>0</v>
      </c>
      <c r="G251" s="857">
        <v>0</v>
      </c>
      <c r="H251" s="857">
        <v>0</v>
      </c>
      <c r="I251" s="857">
        <f t="shared" si="35"/>
        <v>0</v>
      </c>
      <c r="J251" s="14"/>
      <c r="K251" s="560"/>
      <c r="L251" s="560"/>
      <c r="M251" s="560"/>
      <c r="N251" s="560"/>
      <c r="O251" s="560"/>
      <c r="P251" s="560"/>
      <c r="Q251" s="560"/>
    </row>
    <row r="252" spans="1:17">
      <c r="A252" s="1485"/>
      <c r="B252" s="1482"/>
      <c r="C252" s="866" t="s">
        <v>804</v>
      </c>
      <c r="D252" s="110" t="str">
        <f>'1.Dati'!P69</f>
        <v>PNO2</v>
      </c>
      <c r="E252" s="890">
        <f t="shared" si="33"/>
        <v>0.6</v>
      </c>
      <c r="F252" s="856">
        <f t="shared" si="34"/>
        <v>0.04</v>
      </c>
      <c r="G252" s="856">
        <f>'3.Hd'!G115</f>
        <v>0.15117690925050431</v>
      </c>
      <c r="H252" s="856">
        <f>'3.Hd'!H115</f>
        <v>13.716000000000001</v>
      </c>
      <c r="I252" s="856">
        <f t="shared" si="35"/>
        <v>4.9765019694718013E-2</v>
      </c>
      <c r="J252" s="14"/>
      <c r="K252" s="560"/>
      <c r="L252" s="560"/>
      <c r="M252" s="560"/>
      <c r="N252" s="560"/>
      <c r="O252" s="560"/>
      <c r="P252" s="560"/>
      <c r="Q252" s="560"/>
    </row>
    <row r="253" spans="1:17">
      <c r="A253" s="1485"/>
      <c r="B253" s="1482"/>
      <c r="C253" s="866"/>
      <c r="D253" s="875" t="str">
        <f>'1.Dati'!P70</f>
        <v>PN1</v>
      </c>
      <c r="E253" s="891">
        <f t="shared" si="33"/>
        <v>0.6</v>
      </c>
      <c r="F253" s="857">
        <f t="shared" si="34"/>
        <v>0.04</v>
      </c>
      <c r="G253" s="857">
        <f>'3.Hd'!G116</f>
        <v>0.15117690925050431</v>
      </c>
      <c r="H253" s="857">
        <f>'3.Hd'!H116</f>
        <v>10.692</v>
      </c>
      <c r="I253" s="857">
        <f t="shared" si="35"/>
        <v>3.8793204328953411E-2</v>
      </c>
      <c r="J253" s="14"/>
      <c r="K253" s="560"/>
      <c r="L253" s="560"/>
      <c r="M253" s="560"/>
      <c r="N253" s="560"/>
      <c r="O253" s="560"/>
      <c r="P253" s="560"/>
      <c r="Q253" s="560"/>
    </row>
    <row r="254" spans="1:17">
      <c r="A254" s="1485"/>
      <c r="B254" s="1482"/>
      <c r="C254" s="866"/>
      <c r="D254" s="875" t="str">
        <f>'1.Dati'!P71</f>
        <v>STPS1</v>
      </c>
      <c r="E254" s="891">
        <v>0</v>
      </c>
      <c r="F254" s="857">
        <v>0</v>
      </c>
      <c r="G254" s="857">
        <v>0</v>
      </c>
      <c r="H254" s="857">
        <v>0</v>
      </c>
      <c r="I254" s="857">
        <f t="shared" si="35"/>
        <v>0</v>
      </c>
      <c r="J254" s="14"/>
      <c r="K254" s="560"/>
      <c r="L254" s="560"/>
      <c r="M254" s="560"/>
      <c r="N254" s="560"/>
      <c r="O254" s="560"/>
      <c r="P254" s="560"/>
      <c r="Q254" s="560"/>
    </row>
    <row r="255" spans="1:17">
      <c r="A255" s="1485"/>
      <c r="B255" s="1482"/>
      <c r="C255" s="866"/>
      <c r="D255" s="875" t="str">
        <f>'1.Dati'!P72</f>
        <v>PiS1</v>
      </c>
      <c r="E255" s="891">
        <f t="shared" si="33"/>
        <v>0.6</v>
      </c>
      <c r="F255" s="857">
        <f t="shared" si="34"/>
        <v>0.04</v>
      </c>
      <c r="G255" s="857">
        <f>'3.Hd'!G118</f>
        <v>0.31246355597199493</v>
      </c>
      <c r="H255" s="857">
        <f>'3.Hd'!H118</f>
        <v>11.151</v>
      </c>
      <c r="I255" s="857">
        <f t="shared" si="35"/>
        <v>8.3622746703449172E-2</v>
      </c>
      <c r="J255" s="14"/>
      <c r="K255" s="560"/>
      <c r="L255" s="560"/>
      <c r="M255" s="560"/>
      <c r="N255" s="560"/>
      <c r="O255" s="560"/>
      <c r="P255" s="560"/>
      <c r="Q255" s="560"/>
    </row>
    <row r="256" spans="1:17">
      <c r="A256" s="1485"/>
      <c r="B256" s="1482"/>
      <c r="C256" s="869"/>
      <c r="D256" s="876" t="str">
        <f>'1.Dati'!P73</f>
        <v>PiI1</v>
      </c>
      <c r="E256" s="892">
        <f t="shared" si="33"/>
        <v>0.6</v>
      </c>
      <c r="F256" s="858">
        <f t="shared" si="34"/>
        <v>0.04</v>
      </c>
      <c r="G256" s="858">
        <f>'3.Hd'!G119</f>
        <v>1.3986013986013988</v>
      </c>
      <c r="H256" s="858">
        <f>'3.Hd'!H119</f>
        <v>2.2000000000000002</v>
      </c>
      <c r="I256" s="858">
        <f t="shared" si="35"/>
        <v>7.3846153846153867E-2</v>
      </c>
      <c r="J256" s="14"/>
      <c r="K256" s="560"/>
      <c r="L256" s="560"/>
      <c r="M256" s="560"/>
      <c r="N256" s="560"/>
      <c r="O256" s="560"/>
      <c r="P256" s="560"/>
      <c r="Q256" s="560"/>
    </row>
    <row r="257" spans="1:17">
      <c r="A257" s="1485"/>
      <c r="B257" s="1482"/>
      <c r="C257" s="868" t="s">
        <v>22</v>
      </c>
      <c r="D257" s="875" t="str">
        <f>'1.Dati'!P74</f>
        <v>PiE1</v>
      </c>
      <c r="E257" s="891">
        <f t="shared" si="33"/>
        <v>0.6</v>
      </c>
      <c r="F257" s="857">
        <f t="shared" si="34"/>
        <v>0.04</v>
      </c>
      <c r="G257" s="857">
        <f>'3.Hd'!G120</f>
        <v>0.31246355597199493</v>
      </c>
      <c r="H257" s="857">
        <f>'3.Hd'!H120</f>
        <v>1.62</v>
      </c>
      <c r="I257" s="857">
        <f t="shared" si="35"/>
        <v>1.2148583056191164E-2</v>
      </c>
      <c r="J257" s="14"/>
      <c r="K257" s="560"/>
      <c r="L257" s="560"/>
      <c r="M257" s="560"/>
      <c r="N257" s="560"/>
      <c r="O257" s="560"/>
      <c r="P257" s="560"/>
      <c r="Q257" s="560"/>
    </row>
    <row r="258" spans="1:17">
      <c r="A258" s="1485"/>
      <c r="B258" s="1482"/>
      <c r="C258" s="869"/>
      <c r="D258" s="875" t="str">
        <f>'1.Dati'!P75</f>
        <v>STR1</v>
      </c>
      <c r="E258" s="891">
        <v>0</v>
      </c>
      <c r="F258" s="857">
        <v>0</v>
      </c>
      <c r="G258" s="857">
        <v>0</v>
      </c>
      <c r="H258" s="857">
        <v>0</v>
      </c>
      <c r="I258" s="857">
        <f t="shared" si="35"/>
        <v>0</v>
      </c>
      <c r="J258" s="14"/>
      <c r="K258" s="560"/>
      <c r="L258" s="560"/>
      <c r="M258" s="560"/>
      <c r="N258" s="560"/>
      <c r="O258" s="560"/>
      <c r="P258" s="560"/>
      <c r="Q258" s="560"/>
    </row>
    <row r="259" spans="1:17">
      <c r="A259" s="1485"/>
      <c r="B259" s="1482"/>
      <c r="C259" s="868" t="s">
        <v>803</v>
      </c>
      <c r="D259" s="110" t="str">
        <f>'1.Dati'!P76</f>
        <v>PiS2</v>
      </c>
      <c r="E259" s="890">
        <f t="shared" si="33"/>
        <v>0.6</v>
      </c>
      <c r="F259" s="856">
        <f t="shared" si="34"/>
        <v>0.04</v>
      </c>
      <c r="G259" s="856">
        <f>'3.Hd'!G122</f>
        <v>0.31246355597199493</v>
      </c>
      <c r="H259" s="856">
        <f>'3.Hd'!H122</f>
        <v>4.0500000000000007</v>
      </c>
      <c r="I259" s="856">
        <f t="shared" si="35"/>
        <v>3.0371457640477915E-2</v>
      </c>
      <c r="J259" s="14"/>
      <c r="K259" s="560"/>
      <c r="L259" s="560"/>
      <c r="M259" s="560"/>
      <c r="N259" s="560"/>
      <c r="O259" s="560"/>
      <c r="P259" s="560"/>
      <c r="Q259" s="560"/>
    </row>
    <row r="260" spans="1:17">
      <c r="A260" s="1485"/>
      <c r="B260" s="1482"/>
      <c r="C260" s="866"/>
      <c r="D260" s="875" t="str">
        <f>'1.Dati'!P77</f>
        <v>PiE2</v>
      </c>
      <c r="E260" s="891">
        <f t="shared" si="33"/>
        <v>0.6</v>
      </c>
      <c r="F260" s="857">
        <f t="shared" si="34"/>
        <v>0.04</v>
      </c>
      <c r="G260" s="857">
        <f>'3.Hd'!G123</f>
        <v>0.31246355597199493</v>
      </c>
      <c r="H260" s="857">
        <f>'3.Hd'!H123</f>
        <v>4.5090000000000003</v>
      </c>
      <c r="I260" s="857">
        <f t="shared" si="35"/>
        <v>3.3813556173065411E-2</v>
      </c>
      <c r="J260" s="14"/>
      <c r="K260" s="560"/>
      <c r="L260" s="560"/>
      <c r="M260" s="560"/>
      <c r="N260" s="560"/>
      <c r="O260" s="560"/>
      <c r="P260" s="560"/>
      <c r="Q260" s="560"/>
    </row>
    <row r="261" spans="1:17">
      <c r="A261" s="1485"/>
      <c r="B261" s="1482"/>
      <c r="C261" s="869"/>
      <c r="D261" s="876" t="str">
        <f>'1.Dati'!P78</f>
        <v>STW3</v>
      </c>
      <c r="E261" s="892">
        <v>0</v>
      </c>
      <c r="F261" s="858">
        <v>0</v>
      </c>
      <c r="G261" s="858">
        <v>0</v>
      </c>
      <c r="H261" s="858">
        <v>0</v>
      </c>
      <c r="I261" s="858">
        <f t="shared" si="35"/>
        <v>0</v>
      </c>
      <c r="J261" s="14"/>
      <c r="K261" s="560"/>
      <c r="L261" s="560"/>
      <c r="M261" s="560"/>
      <c r="N261" s="560"/>
      <c r="O261" s="560"/>
      <c r="P261" s="560"/>
      <c r="Q261" s="560"/>
    </row>
    <row r="262" spans="1:17">
      <c r="A262" s="1485"/>
      <c r="B262" s="1482"/>
      <c r="C262" s="868" t="s">
        <v>802</v>
      </c>
      <c r="D262" s="875" t="str">
        <f>'1.Dati'!P79</f>
        <v>PN2</v>
      </c>
      <c r="E262" s="891">
        <f t="shared" si="33"/>
        <v>0.6</v>
      </c>
      <c r="F262" s="857">
        <f t="shared" si="34"/>
        <v>0.04</v>
      </c>
      <c r="G262" s="857">
        <f>'3.Hd'!G125</f>
        <v>0.15117690925050431</v>
      </c>
      <c r="H262" s="857">
        <f>'3.Hd'!H125</f>
        <v>9.4500000000000011</v>
      </c>
      <c r="I262" s="857">
        <f t="shared" si="35"/>
        <v>3.4286923018014379E-2</v>
      </c>
      <c r="J262" s="14"/>
      <c r="K262" s="560"/>
      <c r="L262" s="560"/>
      <c r="M262" s="560"/>
      <c r="N262" s="560"/>
      <c r="O262" s="560"/>
      <c r="P262" s="560"/>
      <c r="Q262" s="560"/>
    </row>
    <row r="263" spans="1:17">
      <c r="A263" s="1485"/>
      <c r="B263" s="1482"/>
      <c r="C263" s="869"/>
      <c r="D263" s="875" t="str">
        <f>'1.Dati'!P80</f>
        <v>STL3</v>
      </c>
      <c r="E263" s="891">
        <f t="shared" si="33"/>
        <v>0.6</v>
      </c>
      <c r="F263" s="857">
        <f t="shared" si="34"/>
        <v>0.04</v>
      </c>
      <c r="G263" s="857">
        <f>'3.Hd'!G126</f>
        <v>0.2327166892283167</v>
      </c>
      <c r="H263" s="857">
        <f>'3.Hd'!H126</f>
        <v>15.575000000000001</v>
      </c>
      <c r="I263" s="857">
        <f t="shared" si="35"/>
        <v>8.6989498433544796E-2</v>
      </c>
      <c r="J263" s="14"/>
      <c r="K263" s="560"/>
      <c r="L263" s="560"/>
      <c r="M263" s="560"/>
      <c r="N263" s="560"/>
      <c r="O263" s="560"/>
      <c r="P263" s="560"/>
      <c r="Q263" s="560"/>
    </row>
    <row r="264" spans="1:17">
      <c r="A264" s="1485"/>
      <c r="B264" s="1482"/>
      <c r="C264" s="868" t="s">
        <v>587</v>
      </c>
      <c r="D264" s="110" t="str">
        <f>'1.Dati'!P81</f>
        <v>PN3</v>
      </c>
      <c r="E264" s="890">
        <f t="shared" si="33"/>
        <v>0.6</v>
      </c>
      <c r="F264" s="856">
        <f t="shared" si="34"/>
        <v>0.04</v>
      </c>
      <c r="G264" s="856">
        <f>'3.Hd'!G127</f>
        <v>0.15117690925050431</v>
      </c>
      <c r="H264" s="856">
        <f>'3.Hd'!H127</f>
        <v>5.4</v>
      </c>
      <c r="I264" s="856">
        <f t="shared" si="35"/>
        <v>1.9592527438865359E-2</v>
      </c>
      <c r="J264" s="14"/>
      <c r="K264" s="560"/>
      <c r="L264" s="560"/>
      <c r="M264" s="560"/>
      <c r="N264" s="560"/>
      <c r="O264" s="560"/>
      <c r="P264" s="560"/>
      <c r="Q264" s="560"/>
    </row>
    <row r="265" spans="1:17">
      <c r="A265" s="1485"/>
      <c r="B265" s="1482"/>
      <c r="C265" s="869"/>
      <c r="D265" s="876" t="str">
        <f>'1.Dati'!P82</f>
        <v>STW2</v>
      </c>
      <c r="E265" s="892">
        <v>0</v>
      </c>
      <c r="F265" s="858">
        <v>0</v>
      </c>
      <c r="G265" s="858">
        <v>0</v>
      </c>
      <c r="H265" s="858">
        <v>0</v>
      </c>
      <c r="I265" s="858">
        <f t="shared" si="35"/>
        <v>0</v>
      </c>
      <c r="J265" s="14"/>
      <c r="K265" s="560"/>
      <c r="L265" s="560"/>
      <c r="M265" s="560"/>
      <c r="N265" s="560"/>
      <c r="O265" s="560"/>
      <c r="P265" s="560"/>
      <c r="Q265" s="560"/>
    </row>
    <row r="266" spans="1:17">
      <c r="A266" s="1485"/>
      <c r="B266" s="1482"/>
      <c r="C266" s="868" t="s">
        <v>20</v>
      </c>
      <c r="D266" s="875" t="str">
        <f>'1.Dati'!P83</f>
        <v>PN4</v>
      </c>
      <c r="E266" s="891">
        <f t="shared" si="33"/>
        <v>0.6</v>
      </c>
      <c r="F266" s="857">
        <f t="shared" si="34"/>
        <v>0.04</v>
      </c>
      <c r="G266" s="857">
        <f>'3.Hd'!G129</f>
        <v>0.15117690925050431</v>
      </c>
      <c r="H266" s="857">
        <f>'3.Hd'!H129</f>
        <v>9.5850000000000009</v>
      </c>
      <c r="I266" s="857">
        <f t="shared" si="35"/>
        <v>3.4776736203986011E-2</v>
      </c>
      <c r="J266" s="14"/>
      <c r="K266" s="560"/>
      <c r="L266" s="560"/>
      <c r="M266" s="560"/>
      <c r="N266" s="560"/>
      <c r="O266" s="560"/>
      <c r="P266" s="560"/>
      <c r="Q266" s="560"/>
    </row>
    <row r="267" spans="1:17">
      <c r="A267" s="1485"/>
      <c r="B267" s="1482"/>
      <c r="C267" s="870"/>
      <c r="D267" s="875" t="str">
        <f>'1.Dati'!P84</f>
        <v>PE1</v>
      </c>
      <c r="E267" s="891">
        <f t="shared" si="33"/>
        <v>0.6</v>
      </c>
      <c r="F267" s="857">
        <f t="shared" si="34"/>
        <v>0.04</v>
      </c>
      <c r="G267" s="857">
        <f>'3.Hd'!G130</f>
        <v>0.15117690925050431</v>
      </c>
      <c r="H267" s="857">
        <f>'3.Hd'!H130</f>
        <v>9.9360000000000017</v>
      </c>
      <c r="I267" s="857">
        <f t="shared" si="35"/>
        <v>3.6050250487512266E-2</v>
      </c>
      <c r="J267" s="14"/>
      <c r="K267" s="560"/>
      <c r="L267" s="560"/>
      <c r="M267" s="560"/>
      <c r="N267" s="560"/>
      <c r="O267" s="560"/>
      <c r="P267" s="560"/>
      <c r="Q267" s="560"/>
    </row>
    <row r="268" spans="1:17">
      <c r="A268" s="1485"/>
      <c r="B268" s="1482"/>
      <c r="C268" s="871"/>
      <c r="D268" s="875" t="str">
        <f>'1.Dati'!P85</f>
        <v>STL2</v>
      </c>
      <c r="E268" s="891">
        <v>0</v>
      </c>
      <c r="F268" s="857">
        <v>0</v>
      </c>
      <c r="G268" s="857">
        <v>0</v>
      </c>
      <c r="H268" s="857">
        <v>0</v>
      </c>
      <c r="I268" s="857">
        <f t="shared" si="35"/>
        <v>0</v>
      </c>
      <c r="J268" s="14"/>
      <c r="K268" s="560"/>
      <c r="L268" s="560"/>
      <c r="M268" s="560"/>
      <c r="N268" s="560"/>
      <c r="O268" s="560"/>
      <c r="P268" s="560"/>
      <c r="Q268" s="560"/>
    </row>
    <row r="269" spans="1:17">
      <c r="A269" s="1485"/>
      <c r="B269" s="1482"/>
      <c r="C269" s="868" t="s">
        <v>586</v>
      </c>
      <c r="D269" s="110" t="str">
        <f>'1.Dati'!P86</f>
        <v>PE2</v>
      </c>
      <c r="E269" s="890">
        <f t="shared" si="33"/>
        <v>0.6</v>
      </c>
      <c r="F269" s="856">
        <f t="shared" si="34"/>
        <v>0.04</v>
      </c>
      <c r="G269" s="856">
        <f>'3.Hd'!G132</f>
        <v>0.15117690925050431</v>
      </c>
      <c r="H269" s="856">
        <f>'3.Hd'!H132</f>
        <v>7.7220000000000004</v>
      </c>
      <c r="I269" s="856">
        <f t="shared" si="35"/>
        <v>2.8017314237577463E-2</v>
      </c>
      <c r="J269" s="14"/>
      <c r="K269" s="560"/>
      <c r="L269" s="560"/>
      <c r="M269" s="560"/>
      <c r="N269" s="560"/>
      <c r="O269" s="560"/>
      <c r="P269" s="560"/>
      <c r="Q269" s="560"/>
    </row>
    <row r="270" spans="1:17">
      <c r="A270" s="1485"/>
      <c r="B270" s="1482"/>
      <c r="C270" s="871"/>
      <c r="D270" s="876" t="str">
        <f>'1.Dati'!P87</f>
        <v>STW1</v>
      </c>
      <c r="E270" s="892">
        <v>0</v>
      </c>
      <c r="F270" s="858">
        <v>0</v>
      </c>
      <c r="G270" s="858">
        <v>0</v>
      </c>
      <c r="H270" s="858">
        <v>0</v>
      </c>
      <c r="I270" s="858">
        <f t="shared" si="35"/>
        <v>0</v>
      </c>
      <c r="J270" s="14"/>
      <c r="K270" s="560"/>
      <c r="L270" s="560"/>
      <c r="M270" s="560"/>
      <c r="N270" s="560"/>
      <c r="O270" s="560"/>
      <c r="P270" s="560"/>
      <c r="Q270" s="560"/>
    </row>
    <row r="271" spans="1:17">
      <c r="A271" s="1485"/>
      <c r="B271" s="1482"/>
      <c r="C271" s="868" t="s">
        <v>19</v>
      </c>
      <c r="D271" s="875" t="str">
        <f>'1.Dati'!P88</f>
        <v>PE3</v>
      </c>
      <c r="E271" s="891">
        <f t="shared" si="33"/>
        <v>0.6</v>
      </c>
      <c r="F271" s="857">
        <f t="shared" si="34"/>
        <v>0.04</v>
      </c>
      <c r="G271" s="857">
        <f>'3.Hd'!G134</f>
        <v>0.15117690925050431</v>
      </c>
      <c r="H271" s="857">
        <f>'3.Hd'!H134</f>
        <v>8.6669999999999998</v>
      </c>
      <c r="I271" s="857">
        <f t="shared" si="35"/>
        <v>3.1446006539378901E-2</v>
      </c>
      <c r="J271" s="14"/>
      <c r="K271" s="560"/>
      <c r="L271" s="560"/>
      <c r="M271" s="560"/>
      <c r="N271" s="560"/>
      <c r="O271" s="560"/>
      <c r="P271" s="560"/>
      <c r="Q271" s="560"/>
    </row>
    <row r="272" spans="1:17">
      <c r="A272" s="1485"/>
      <c r="B272" s="1482"/>
      <c r="C272" s="870"/>
      <c r="D272" s="875" t="str">
        <f>'1.Dati'!P89</f>
        <v>PiO1</v>
      </c>
      <c r="E272" s="891">
        <f t="shared" si="33"/>
        <v>0.6</v>
      </c>
      <c r="F272" s="857">
        <f t="shared" si="34"/>
        <v>0.04</v>
      </c>
      <c r="G272" s="857">
        <f>'3.Hd'!G135</f>
        <v>0.31246355597199493</v>
      </c>
      <c r="H272" s="857">
        <f>'3.Hd'!H135</f>
        <v>11.07</v>
      </c>
      <c r="I272" s="857">
        <f t="shared" si="35"/>
        <v>8.3015317550639622E-2</v>
      </c>
      <c r="J272" s="14"/>
      <c r="K272" s="560"/>
      <c r="L272" s="560"/>
      <c r="M272" s="560"/>
      <c r="N272" s="560"/>
      <c r="O272" s="560"/>
      <c r="P272" s="560"/>
      <c r="Q272" s="560"/>
    </row>
    <row r="273" spans="1:17">
      <c r="A273" s="1485"/>
      <c r="B273" s="1483"/>
      <c r="C273" s="871"/>
      <c r="D273" s="875" t="str">
        <f>'1.Dati'!P90</f>
        <v>STL1</v>
      </c>
      <c r="E273" s="891">
        <v>0</v>
      </c>
      <c r="F273" s="857">
        <v>0</v>
      </c>
      <c r="G273" s="857">
        <v>0</v>
      </c>
      <c r="H273" s="857">
        <v>0</v>
      </c>
      <c r="I273" s="857">
        <f t="shared" si="35"/>
        <v>0</v>
      </c>
      <c r="J273" s="14"/>
      <c r="K273" s="560"/>
      <c r="L273" s="560"/>
      <c r="M273" s="560"/>
      <c r="N273" s="560"/>
      <c r="O273" s="560"/>
      <c r="P273" s="560"/>
      <c r="Q273" s="560"/>
    </row>
    <row r="274" spans="1:17">
      <c r="A274" s="1485"/>
      <c r="B274" s="1372" t="s">
        <v>810</v>
      </c>
      <c r="C274" s="868" t="s">
        <v>9</v>
      </c>
      <c r="D274" s="110" t="str">
        <f>'1.Dati'!P93</f>
        <v>PE4</v>
      </c>
      <c r="E274" s="890">
        <f t="shared" si="33"/>
        <v>0.6</v>
      </c>
      <c r="F274" s="856">
        <f t="shared" si="34"/>
        <v>0.04</v>
      </c>
      <c r="G274" s="856">
        <f>'3.Hd'!G139</f>
        <v>0.15117690925050431</v>
      </c>
      <c r="H274" s="856">
        <f>'3.Hd'!H139</f>
        <v>8.91</v>
      </c>
      <c r="I274" s="856">
        <f t="shared" si="35"/>
        <v>3.2327670274127841E-2</v>
      </c>
      <c r="J274" s="14"/>
      <c r="K274" s="560"/>
      <c r="L274" s="560"/>
      <c r="M274" s="560"/>
      <c r="N274" s="560"/>
      <c r="O274" s="560"/>
      <c r="P274" s="560"/>
      <c r="Q274" s="560"/>
    </row>
    <row r="275" spans="1:17">
      <c r="A275" s="1485"/>
      <c r="B275" s="1373"/>
      <c r="C275" s="866"/>
      <c r="D275" s="875" t="str">
        <f>'1.Dati'!P94</f>
        <v>PSE2</v>
      </c>
      <c r="E275" s="891">
        <f t="shared" si="33"/>
        <v>0.6</v>
      </c>
      <c r="F275" s="857">
        <f t="shared" si="34"/>
        <v>0.04</v>
      </c>
      <c r="G275" s="857">
        <f>'3.Hd'!G140</f>
        <v>0.15117690925050431</v>
      </c>
      <c r="H275" s="857">
        <f>'3.Hd'!H140</f>
        <v>5.8049999999999997</v>
      </c>
      <c r="I275" s="857">
        <f t="shared" si="35"/>
        <v>2.106196699678026E-2</v>
      </c>
      <c r="J275" s="14"/>
      <c r="K275" s="560"/>
      <c r="L275" s="560"/>
      <c r="M275" s="560"/>
      <c r="N275" s="560"/>
      <c r="O275" s="560"/>
      <c r="P275" s="560"/>
      <c r="Q275" s="560"/>
    </row>
    <row r="276" spans="1:17">
      <c r="A276" s="1485"/>
      <c r="B276" s="1373"/>
      <c r="C276" s="869"/>
      <c r="D276" s="876" t="str">
        <f>'1.Dati'!P95</f>
        <v>STC1</v>
      </c>
      <c r="E276" s="892">
        <v>0</v>
      </c>
      <c r="F276" s="858">
        <v>0</v>
      </c>
      <c r="G276" s="858">
        <v>0</v>
      </c>
      <c r="H276" s="858">
        <v>0</v>
      </c>
      <c r="I276" s="858">
        <f t="shared" si="35"/>
        <v>0</v>
      </c>
      <c r="J276" s="14"/>
      <c r="K276" s="560"/>
      <c r="L276" s="560"/>
      <c r="M276" s="560"/>
      <c r="N276" s="560"/>
      <c r="O276" s="560"/>
      <c r="P276" s="560"/>
      <c r="Q276" s="560"/>
    </row>
    <row r="277" spans="1:17">
      <c r="A277" s="1485"/>
      <c r="B277" s="1373"/>
      <c r="C277" s="866" t="s">
        <v>804</v>
      </c>
      <c r="D277" s="875" t="str">
        <f>'1.Dati'!P96</f>
        <v>PSE1</v>
      </c>
      <c r="E277" s="891">
        <f t="shared" si="33"/>
        <v>0.6</v>
      </c>
      <c r="F277" s="857">
        <f t="shared" si="34"/>
        <v>0.04</v>
      </c>
      <c r="G277" s="857">
        <f>'3.Hd'!G142</f>
        <v>0.15117690925050431</v>
      </c>
      <c r="H277" s="857">
        <f>'3.Hd'!H142</f>
        <v>13.716000000000001</v>
      </c>
      <c r="I277" s="857">
        <f t="shared" si="35"/>
        <v>4.9765019694718013E-2</v>
      </c>
      <c r="J277" s="14"/>
      <c r="K277" s="560"/>
      <c r="L277" s="560"/>
      <c r="M277" s="560"/>
      <c r="N277" s="560"/>
      <c r="O277" s="560"/>
      <c r="P277" s="560"/>
      <c r="Q277" s="560"/>
    </row>
    <row r="278" spans="1:17">
      <c r="A278" s="1485"/>
      <c r="B278" s="1373"/>
      <c r="C278" s="866"/>
      <c r="D278" s="875" t="str">
        <f>'1.Dati'!P97</f>
        <v>PS4</v>
      </c>
      <c r="E278" s="891">
        <f t="shared" si="33"/>
        <v>0.6</v>
      </c>
      <c r="F278" s="857">
        <f t="shared" si="34"/>
        <v>0.04</v>
      </c>
      <c r="G278" s="857">
        <f>'3.Hd'!G143</f>
        <v>0.15117690925050431</v>
      </c>
      <c r="H278" s="857">
        <f>'3.Hd'!H143</f>
        <v>10.692</v>
      </c>
      <c r="I278" s="857">
        <f t="shared" si="35"/>
        <v>3.8793204328953411E-2</v>
      </c>
      <c r="J278" s="14"/>
      <c r="K278" s="560"/>
      <c r="L278" s="560"/>
      <c r="M278" s="560"/>
      <c r="N278" s="560"/>
      <c r="O278" s="560"/>
      <c r="P278" s="560"/>
      <c r="Q278" s="560"/>
    </row>
    <row r="279" spans="1:17">
      <c r="A279" s="1485"/>
      <c r="B279" s="1373"/>
      <c r="C279" s="866"/>
      <c r="D279" s="875" t="str">
        <f>'1.Dati'!P98</f>
        <v>STPS1</v>
      </c>
      <c r="E279" s="891">
        <v>0</v>
      </c>
      <c r="F279" s="857">
        <v>0</v>
      </c>
      <c r="G279" s="857">
        <v>0</v>
      </c>
      <c r="H279" s="857">
        <v>0</v>
      </c>
      <c r="I279" s="857">
        <f t="shared" si="35"/>
        <v>0</v>
      </c>
      <c r="J279" s="14"/>
      <c r="K279" s="560"/>
      <c r="L279" s="560"/>
      <c r="M279" s="560"/>
      <c r="N279" s="560"/>
      <c r="O279" s="560"/>
      <c r="P279" s="560"/>
      <c r="Q279" s="560"/>
    </row>
    <row r="280" spans="1:17">
      <c r="A280" s="1485"/>
      <c r="B280" s="1373"/>
      <c r="C280" s="866"/>
      <c r="D280" s="875" t="str">
        <f>'1.Dati'!P99</f>
        <v>PiN1</v>
      </c>
      <c r="E280" s="891">
        <f t="shared" si="33"/>
        <v>0.6</v>
      </c>
      <c r="F280" s="857">
        <f t="shared" si="34"/>
        <v>0.04</v>
      </c>
      <c r="G280" s="857">
        <f>'3.Hd'!G145</f>
        <v>0.31246355597199493</v>
      </c>
      <c r="H280" s="857">
        <f>'3.Hd'!H145</f>
        <v>11.151</v>
      </c>
      <c r="I280" s="857">
        <f t="shared" si="35"/>
        <v>8.3622746703449172E-2</v>
      </c>
      <c r="J280" s="14"/>
      <c r="K280" s="560"/>
      <c r="L280" s="560"/>
      <c r="M280" s="560"/>
      <c r="N280" s="560"/>
      <c r="O280" s="560"/>
      <c r="P280" s="560"/>
      <c r="Q280" s="560"/>
    </row>
    <row r="281" spans="1:17">
      <c r="A281" s="1485"/>
      <c r="B281" s="1373"/>
      <c r="C281" s="869"/>
      <c r="D281" s="875" t="str">
        <f>'1.Dati'!P100</f>
        <v>PiI2</v>
      </c>
      <c r="E281" s="891">
        <f t="shared" si="33"/>
        <v>0.6</v>
      </c>
      <c r="F281" s="857">
        <f t="shared" si="34"/>
        <v>0.04</v>
      </c>
      <c r="G281" s="857">
        <f>'3.Hd'!G146</f>
        <v>1.3986013986013988</v>
      </c>
      <c r="H281" s="857">
        <f>'3.Hd'!H146</f>
        <v>2.2000000000000002</v>
      </c>
      <c r="I281" s="857">
        <f t="shared" si="35"/>
        <v>7.3846153846153867E-2</v>
      </c>
      <c r="J281" s="14"/>
      <c r="K281" s="560"/>
      <c r="L281" s="560"/>
      <c r="M281" s="560"/>
      <c r="N281" s="560"/>
      <c r="O281" s="560"/>
      <c r="P281" s="560"/>
      <c r="Q281" s="560"/>
    </row>
    <row r="282" spans="1:17">
      <c r="A282" s="1485"/>
      <c r="B282" s="1373"/>
      <c r="C282" s="868" t="s">
        <v>22</v>
      </c>
      <c r="D282" s="110" t="str">
        <f>'1.Dati'!P101</f>
        <v>PiO2</v>
      </c>
      <c r="E282" s="890">
        <f t="shared" si="33"/>
        <v>0.6</v>
      </c>
      <c r="F282" s="856">
        <f t="shared" si="34"/>
        <v>0.04</v>
      </c>
      <c r="G282" s="856">
        <f>'3.Hd'!G147</f>
        <v>0.31246355597199493</v>
      </c>
      <c r="H282" s="856">
        <f>'3.Hd'!H147</f>
        <v>1.62</v>
      </c>
      <c r="I282" s="856">
        <f t="shared" si="35"/>
        <v>1.2148583056191164E-2</v>
      </c>
      <c r="J282" s="14"/>
      <c r="K282" s="560"/>
      <c r="L282" s="560"/>
      <c r="M282" s="560"/>
      <c r="N282" s="560"/>
      <c r="O282" s="560"/>
      <c r="P282" s="560"/>
      <c r="Q282" s="560"/>
    </row>
    <row r="283" spans="1:17">
      <c r="A283" s="1485"/>
      <c r="B283" s="1373"/>
      <c r="C283" s="869"/>
      <c r="D283" s="876" t="str">
        <f>'1.Dati'!P102</f>
        <v>STR1</v>
      </c>
      <c r="E283" s="892">
        <v>0</v>
      </c>
      <c r="F283" s="858">
        <v>0</v>
      </c>
      <c r="G283" s="858">
        <v>0</v>
      </c>
      <c r="H283" s="858">
        <v>0</v>
      </c>
      <c r="I283" s="858">
        <f t="shared" si="35"/>
        <v>0</v>
      </c>
      <c r="J283" s="14"/>
      <c r="K283" s="560"/>
      <c r="L283" s="560"/>
      <c r="M283" s="560"/>
      <c r="N283" s="560"/>
      <c r="O283" s="560"/>
      <c r="P283" s="560"/>
      <c r="Q283" s="560"/>
    </row>
    <row r="284" spans="1:17">
      <c r="A284" s="1485"/>
      <c r="B284" s="1373"/>
      <c r="C284" s="868" t="s">
        <v>803</v>
      </c>
      <c r="D284" s="875" t="str">
        <f>'1.Dati'!P103</f>
        <v>PiN2</v>
      </c>
      <c r="E284" s="891">
        <f t="shared" si="33"/>
        <v>0.6</v>
      </c>
      <c r="F284" s="857">
        <f t="shared" si="34"/>
        <v>0.04</v>
      </c>
      <c r="G284" s="857">
        <f>'3.Hd'!G149</f>
        <v>0.31246355597199493</v>
      </c>
      <c r="H284" s="857">
        <f>'3.Hd'!H149</f>
        <v>4.0500000000000007</v>
      </c>
      <c r="I284" s="857">
        <f t="shared" si="35"/>
        <v>3.0371457640477915E-2</v>
      </c>
      <c r="J284" s="14"/>
      <c r="K284" s="560"/>
      <c r="L284" s="560"/>
      <c r="M284" s="560"/>
      <c r="N284" s="560"/>
      <c r="O284" s="560"/>
      <c r="P284" s="560"/>
      <c r="Q284" s="560"/>
    </row>
    <row r="285" spans="1:17">
      <c r="A285" s="1485"/>
      <c r="B285" s="1373"/>
      <c r="C285" s="866"/>
      <c r="D285" s="875" t="str">
        <f>'1.Dati'!P104</f>
        <v>PiO2</v>
      </c>
      <c r="E285" s="891">
        <f t="shared" si="33"/>
        <v>0.6</v>
      </c>
      <c r="F285" s="857">
        <f t="shared" si="34"/>
        <v>0.04</v>
      </c>
      <c r="G285" s="857">
        <f>'3.Hd'!G150</f>
        <v>0.31246355597199493</v>
      </c>
      <c r="H285" s="857">
        <f>'3.Hd'!H150</f>
        <v>4.5090000000000003</v>
      </c>
      <c r="I285" s="857">
        <f t="shared" si="35"/>
        <v>3.3813556173065411E-2</v>
      </c>
      <c r="J285" s="14"/>
      <c r="K285" s="560"/>
      <c r="L285" s="560"/>
      <c r="M285" s="560"/>
      <c r="N285" s="560"/>
      <c r="O285" s="560"/>
      <c r="P285" s="560"/>
      <c r="Q285" s="560"/>
    </row>
    <row r="286" spans="1:17">
      <c r="A286" s="1485"/>
      <c r="B286" s="1373"/>
      <c r="C286" s="869"/>
      <c r="D286" s="875" t="str">
        <f>'1.Dati'!P105</f>
        <v>STW3</v>
      </c>
      <c r="E286" s="891">
        <v>0</v>
      </c>
      <c r="F286" s="857">
        <v>0</v>
      </c>
      <c r="G286" s="857">
        <v>0</v>
      </c>
      <c r="H286" s="857">
        <v>0</v>
      </c>
      <c r="I286" s="857">
        <f t="shared" si="35"/>
        <v>0</v>
      </c>
      <c r="J286" s="14"/>
      <c r="K286" s="560"/>
      <c r="L286" s="560"/>
      <c r="M286" s="560"/>
      <c r="N286" s="560"/>
      <c r="O286" s="560"/>
      <c r="P286" s="560"/>
      <c r="Q286" s="560"/>
    </row>
    <row r="287" spans="1:17">
      <c r="A287" s="1485"/>
      <c r="B287" s="1373"/>
      <c r="C287" s="868" t="s">
        <v>802</v>
      </c>
      <c r="D287" s="110" t="str">
        <f>'1.Dati'!P106</f>
        <v>PS3</v>
      </c>
      <c r="E287" s="890">
        <f t="shared" si="33"/>
        <v>0.6</v>
      </c>
      <c r="F287" s="856">
        <f t="shared" si="34"/>
        <v>0.04</v>
      </c>
      <c r="G287" s="856">
        <f>'3.Hd'!G152</f>
        <v>0.15117690925050431</v>
      </c>
      <c r="H287" s="856">
        <f>'3.Hd'!H152</f>
        <v>9.4500000000000011</v>
      </c>
      <c r="I287" s="856">
        <f t="shared" si="35"/>
        <v>3.4286923018014379E-2</v>
      </c>
      <c r="J287" s="14"/>
      <c r="K287" s="560"/>
      <c r="L287" s="560"/>
      <c r="M287" s="560"/>
      <c r="N287" s="560"/>
      <c r="O287" s="560"/>
      <c r="P287" s="560"/>
      <c r="Q287" s="560"/>
    </row>
    <row r="288" spans="1:17">
      <c r="A288" s="1485"/>
      <c r="B288" s="1373"/>
      <c r="C288" s="869"/>
      <c r="D288" s="876" t="str">
        <f>'1.Dati'!P107</f>
        <v>STL3</v>
      </c>
      <c r="E288" s="892">
        <v>0</v>
      </c>
      <c r="F288" s="858">
        <v>0</v>
      </c>
      <c r="G288" s="858">
        <v>0</v>
      </c>
      <c r="H288" s="858">
        <v>0</v>
      </c>
      <c r="I288" s="858">
        <f t="shared" si="35"/>
        <v>0</v>
      </c>
      <c r="J288" s="14"/>
      <c r="K288" s="560"/>
      <c r="L288" s="560"/>
      <c r="M288" s="560"/>
      <c r="N288" s="560"/>
      <c r="O288" s="560"/>
      <c r="P288" s="560"/>
      <c r="Q288" s="560"/>
    </row>
    <row r="289" spans="1:104">
      <c r="A289" s="1485"/>
      <c r="B289" s="1373"/>
      <c r="C289" s="868" t="s">
        <v>587</v>
      </c>
      <c r="D289" s="875" t="str">
        <f>'1.Dati'!P108</f>
        <v>PS2</v>
      </c>
      <c r="E289" s="891">
        <f t="shared" si="33"/>
        <v>0.6</v>
      </c>
      <c r="F289" s="857">
        <f t="shared" si="34"/>
        <v>0.04</v>
      </c>
      <c r="G289" s="857">
        <f>'3.Hd'!G154</f>
        <v>0.15117690925050431</v>
      </c>
      <c r="H289" s="857">
        <f>'3.Hd'!H154</f>
        <v>5.4</v>
      </c>
      <c r="I289" s="857">
        <f t="shared" si="35"/>
        <v>1.9592527438865359E-2</v>
      </c>
      <c r="J289" s="14"/>
      <c r="K289" s="560"/>
      <c r="L289" s="560"/>
      <c r="M289" s="560"/>
      <c r="N289" s="560"/>
      <c r="O289" s="560"/>
      <c r="P289" s="560"/>
      <c r="Q289" s="560"/>
    </row>
    <row r="290" spans="1:104">
      <c r="A290" s="1485"/>
      <c r="B290" s="1373"/>
      <c r="C290" s="869"/>
      <c r="D290" s="875" t="str">
        <f>'1.Dati'!P109</f>
        <v>STW3</v>
      </c>
      <c r="E290" s="891">
        <v>0</v>
      </c>
      <c r="F290" s="857">
        <v>0</v>
      </c>
      <c r="G290" s="857">
        <v>0</v>
      </c>
      <c r="H290" s="857">
        <v>0</v>
      </c>
      <c r="I290" s="857">
        <f t="shared" si="35"/>
        <v>0</v>
      </c>
      <c r="J290" s="14"/>
      <c r="K290" s="560"/>
      <c r="L290" s="560"/>
      <c r="M290" s="560"/>
      <c r="N290" s="560"/>
      <c r="O290" s="560"/>
      <c r="P290" s="560"/>
      <c r="Q290" s="560"/>
    </row>
    <row r="291" spans="1:104">
      <c r="A291" s="1485"/>
      <c r="B291" s="1373"/>
      <c r="C291" s="868" t="s">
        <v>20</v>
      </c>
      <c r="D291" s="110" t="str">
        <f>'1.Dati'!P110</f>
        <v>PS1</v>
      </c>
      <c r="E291" s="890">
        <f t="shared" si="33"/>
        <v>0.6</v>
      </c>
      <c r="F291" s="856">
        <f t="shared" si="34"/>
        <v>0.04</v>
      </c>
      <c r="G291" s="856">
        <f>'3.Hd'!G156</f>
        <v>0.15117690925050431</v>
      </c>
      <c r="H291" s="856">
        <f>'3.Hd'!H156</f>
        <v>9.5850000000000009</v>
      </c>
      <c r="I291" s="856">
        <f t="shared" si="35"/>
        <v>3.4776736203986011E-2</v>
      </c>
      <c r="J291" s="14"/>
      <c r="K291" s="560"/>
      <c r="L291" s="560"/>
      <c r="M291" s="560"/>
      <c r="N291" s="560"/>
      <c r="O291" s="560"/>
      <c r="P291" s="560"/>
      <c r="Q291" s="560"/>
    </row>
    <row r="292" spans="1:104">
      <c r="A292" s="1485"/>
      <c r="B292" s="1373"/>
      <c r="C292" s="870"/>
      <c r="D292" s="875" t="str">
        <f>'1.Dati'!P111</f>
        <v>PO4</v>
      </c>
      <c r="E292" s="891">
        <f t="shared" si="33"/>
        <v>0.6</v>
      </c>
      <c r="F292" s="857">
        <f t="shared" si="34"/>
        <v>0.04</v>
      </c>
      <c r="G292" s="857">
        <f>'3.Hd'!G157</f>
        <v>0.15117690925050431</v>
      </c>
      <c r="H292" s="857">
        <f>'3.Hd'!H157</f>
        <v>9.9360000000000017</v>
      </c>
      <c r="I292" s="857">
        <f t="shared" si="35"/>
        <v>3.6050250487512266E-2</v>
      </c>
      <c r="J292" s="14"/>
      <c r="K292" s="560"/>
      <c r="L292" s="560"/>
      <c r="M292" s="560"/>
      <c r="N292" s="560"/>
      <c r="O292" s="560"/>
      <c r="P292" s="560"/>
      <c r="Q292" s="560"/>
    </row>
    <row r="293" spans="1:104">
      <c r="A293" s="1485"/>
      <c r="B293" s="1373"/>
      <c r="C293" s="871"/>
      <c r="D293" s="876" t="str">
        <f>'1.Dati'!P112</f>
        <v>STL2</v>
      </c>
      <c r="E293" s="892">
        <v>0</v>
      </c>
      <c r="F293" s="858">
        <v>0</v>
      </c>
      <c r="G293" s="858">
        <v>0</v>
      </c>
      <c r="H293" s="858">
        <v>0</v>
      </c>
      <c r="I293" s="858">
        <f t="shared" si="35"/>
        <v>0</v>
      </c>
      <c r="J293" s="14"/>
      <c r="K293" s="560"/>
      <c r="L293" s="560"/>
      <c r="M293" s="560"/>
      <c r="N293" s="560"/>
      <c r="O293" s="560"/>
      <c r="P293" s="560"/>
      <c r="Q293" s="560"/>
    </row>
    <row r="294" spans="1:104">
      <c r="A294" s="1485"/>
      <c r="B294" s="1373"/>
      <c r="C294" s="868" t="s">
        <v>586</v>
      </c>
      <c r="D294" s="875" t="str">
        <f>'1.Dati'!P113</f>
        <v>PO3</v>
      </c>
      <c r="E294" s="891">
        <f t="shared" si="33"/>
        <v>0.6</v>
      </c>
      <c r="F294" s="857">
        <f t="shared" si="34"/>
        <v>0.04</v>
      </c>
      <c r="G294" s="857">
        <f>'3.Hd'!G159</f>
        <v>0.15117690925050431</v>
      </c>
      <c r="H294" s="857">
        <f>'3.Hd'!H159</f>
        <v>7.7220000000000004</v>
      </c>
      <c r="I294" s="857">
        <f t="shared" si="35"/>
        <v>2.8017314237577463E-2</v>
      </c>
      <c r="J294" s="14"/>
      <c r="K294" s="560"/>
      <c r="L294" s="560"/>
      <c r="M294" s="560"/>
      <c r="N294" s="560"/>
      <c r="O294" s="560"/>
      <c r="P294" s="560"/>
      <c r="Q294" s="560"/>
    </row>
    <row r="295" spans="1:104">
      <c r="A295" s="1485"/>
      <c r="B295" s="1373"/>
      <c r="C295" s="871"/>
      <c r="D295" s="875" t="str">
        <f>'1.Dati'!P114</f>
        <v>STW1</v>
      </c>
      <c r="E295" s="891">
        <v>0</v>
      </c>
      <c r="F295" s="857">
        <v>0</v>
      </c>
      <c r="G295" s="857">
        <v>0</v>
      </c>
      <c r="H295" s="857">
        <v>0</v>
      </c>
      <c r="I295" s="857">
        <f t="shared" si="35"/>
        <v>0</v>
      </c>
      <c r="J295" s="14"/>
      <c r="K295" s="560"/>
      <c r="L295" s="560"/>
      <c r="M295" s="560"/>
      <c r="N295" s="560"/>
      <c r="O295" s="560"/>
      <c r="P295" s="560"/>
      <c r="Q295" s="560"/>
    </row>
    <row r="296" spans="1:104">
      <c r="A296" s="1485"/>
      <c r="B296" s="1373"/>
      <c r="C296" s="868" t="s">
        <v>19</v>
      </c>
      <c r="D296" s="110" t="str">
        <f>'1.Dati'!P115</f>
        <v>PO2</v>
      </c>
      <c r="E296" s="890">
        <f t="shared" si="33"/>
        <v>0.6</v>
      </c>
      <c r="F296" s="856">
        <f t="shared" si="34"/>
        <v>0.04</v>
      </c>
      <c r="G296" s="856">
        <f>'3.Hd'!G161</f>
        <v>0.15117690925050431</v>
      </c>
      <c r="H296" s="856">
        <f>'3.Hd'!H161</f>
        <v>8.6669999999999998</v>
      </c>
      <c r="I296" s="856">
        <f t="shared" si="35"/>
        <v>3.1446006539378901E-2</v>
      </c>
      <c r="J296" s="14"/>
      <c r="K296" s="560"/>
      <c r="L296" s="560"/>
      <c r="M296" s="560"/>
      <c r="N296" s="560"/>
      <c r="O296" s="560"/>
      <c r="P296" s="560"/>
      <c r="Q296" s="560"/>
    </row>
    <row r="297" spans="1:104">
      <c r="A297" s="1485"/>
      <c r="B297" s="1373"/>
      <c r="C297" s="870"/>
      <c r="D297" s="875" t="str">
        <f>'1.Dati'!P116</f>
        <v>PiE2</v>
      </c>
      <c r="E297" s="891">
        <f t="shared" ref="E297" si="36">$E$167</f>
        <v>0.6</v>
      </c>
      <c r="F297" s="857">
        <f t="shared" ref="F297" si="37">$F$167</f>
        <v>0.04</v>
      </c>
      <c r="G297" s="857">
        <f>'3.Hd'!G162</f>
        <v>0.31246355597199493</v>
      </c>
      <c r="H297" s="857">
        <f>'3.Hd'!H162</f>
        <v>11.07</v>
      </c>
      <c r="I297" s="857">
        <f t="shared" si="35"/>
        <v>8.3015317550639622E-2</v>
      </c>
      <c r="J297" s="14"/>
      <c r="K297" s="560"/>
      <c r="L297" s="560"/>
      <c r="M297" s="560"/>
      <c r="N297" s="560"/>
      <c r="O297" s="560"/>
      <c r="P297" s="560"/>
      <c r="Q297" s="560"/>
    </row>
    <row r="298" spans="1:104">
      <c r="A298" s="1486"/>
      <c r="B298" s="1374"/>
      <c r="C298" s="871"/>
      <c r="D298" s="876" t="str">
        <f>'1.Dati'!P117</f>
        <v>STL1</v>
      </c>
      <c r="E298" s="892">
        <v>0</v>
      </c>
      <c r="F298" s="858">
        <v>0</v>
      </c>
      <c r="G298" s="858">
        <v>0</v>
      </c>
      <c r="H298" s="858">
        <v>0</v>
      </c>
      <c r="I298" s="858">
        <f t="shared" si="35"/>
        <v>0</v>
      </c>
      <c r="J298" s="14"/>
      <c r="K298" s="560"/>
      <c r="L298" s="560"/>
      <c r="M298" s="560"/>
      <c r="N298" s="560"/>
      <c r="O298" s="560"/>
      <c r="P298" s="560"/>
      <c r="Q298" s="560"/>
    </row>
    <row r="299" spans="1:104">
      <c r="A299" s="392"/>
      <c r="B299" s="392"/>
      <c r="C299" s="65"/>
      <c r="D299" s="294"/>
      <c r="E299" s="469"/>
      <c r="F299" s="145"/>
      <c r="G299" s="138"/>
      <c r="H299" s="145"/>
      <c r="I299" s="145"/>
      <c r="J299" s="14"/>
    </row>
    <row r="300" spans="1:104">
      <c r="A300" s="392"/>
      <c r="B300" s="392"/>
      <c r="C300" s="65"/>
      <c r="D300" s="294"/>
      <c r="E300" s="469"/>
      <c r="F300" s="145"/>
      <c r="G300" s="138"/>
      <c r="H300" s="145"/>
      <c r="I300" s="145"/>
      <c r="J300" s="14"/>
    </row>
    <row r="301" spans="1:104">
      <c r="A301" s="392"/>
      <c r="B301" s="392"/>
      <c r="C301" s="65"/>
      <c r="D301" s="294"/>
      <c r="E301" s="469"/>
      <c r="F301" s="145"/>
      <c r="G301" s="145"/>
      <c r="H301" s="145"/>
      <c r="I301" s="145"/>
      <c r="J301" s="14"/>
    </row>
    <row r="302" spans="1:104">
      <c r="A302" s="498"/>
      <c r="B302" s="498"/>
      <c r="C302" s="499"/>
      <c r="D302" s="500"/>
      <c r="E302" s="501"/>
      <c r="F302" s="231"/>
      <c r="G302" s="231"/>
      <c r="H302" s="231"/>
      <c r="I302" s="231"/>
      <c r="J302" s="502"/>
    </row>
    <row r="303" spans="1:104">
      <c r="A303" s="481" t="s">
        <v>0</v>
      </c>
      <c r="B303" s="884"/>
      <c r="C303" s="1414" t="s">
        <v>566</v>
      </c>
      <c r="D303" s="1415"/>
      <c r="E303" s="1415"/>
      <c r="F303" s="1416"/>
      <c r="G303" s="1509"/>
      <c r="H303" s="1414" t="s">
        <v>567</v>
      </c>
      <c r="I303" s="1415"/>
      <c r="J303" s="1415"/>
      <c r="K303" s="1403"/>
      <c r="L303" s="1404"/>
      <c r="M303" s="1352" t="s">
        <v>5</v>
      </c>
      <c r="N303" s="1353"/>
      <c r="O303" s="1352" t="s">
        <v>6</v>
      </c>
      <c r="P303" s="1353"/>
    </row>
    <row r="304" spans="1:104" ht="24">
      <c r="A304" s="47">
        <v>7</v>
      </c>
      <c r="B304" s="882"/>
      <c r="C304" s="1511" t="s">
        <v>550</v>
      </c>
      <c r="D304" s="1512"/>
      <c r="E304" s="1512"/>
      <c r="F304" s="1513"/>
      <c r="G304" s="1509"/>
      <c r="H304" s="1414" t="s">
        <v>568</v>
      </c>
      <c r="I304" s="1415"/>
      <c r="J304" s="1415"/>
      <c r="K304" s="1415"/>
      <c r="L304" s="1416"/>
      <c r="M304" s="1391">
        <f>'1.Dati'!L2:M2</f>
        <v>0</v>
      </c>
      <c r="N304" s="1392"/>
      <c r="O304" s="1391" t="str">
        <f>O158</f>
        <v>X</v>
      </c>
      <c r="P304" s="1392"/>
      <c r="CD304" s="9"/>
      <c r="CE304" s="9"/>
      <c r="CF304" s="9"/>
      <c r="CG304" s="9"/>
      <c r="CH304" s="9"/>
      <c r="CI304" s="9"/>
      <c r="CJ304" s="9"/>
      <c r="CK304" s="9"/>
      <c r="CL304" s="9"/>
      <c r="CM304" s="9"/>
      <c r="CN304" s="9"/>
      <c r="CO304" s="9"/>
      <c r="CP304" s="9"/>
      <c r="CQ304" s="9"/>
      <c r="CR304" s="9"/>
      <c r="CS304" s="9"/>
      <c r="CT304" s="9"/>
      <c r="CU304" s="9"/>
      <c r="CV304" s="9"/>
      <c r="CW304" s="9"/>
      <c r="CX304" s="9"/>
      <c r="CY304" s="9"/>
      <c r="CZ304" s="9"/>
    </row>
    <row r="305" spans="1:104">
      <c r="A305" s="48" t="s">
        <v>64</v>
      </c>
      <c r="B305" s="883"/>
      <c r="C305" s="1514" t="s">
        <v>551</v>
      </c>
      <c r="D305" s="1515"/>
      <c r="E305" s="1515"/>
      <c r="F305" s="1516"/>
      <c r="G305" s="1510"/>
      <c r="H305" s="1354" t="s">
        <v>644</v>
      </c>
      <c r="I305" s="1355"/>
      <c r="J305" s="1355"/>
      <c r="K305" s="1355"/>
      <c r="L305" s="1356"/>
      <c r="M305" s="1357" t="s">
        <v>1028</v>
      </c>
      <c r="N305" s="1358"/>
      <c r="O305" s="1357" t="str">
        <f>O159</f>
        <v>Y</v>
      </c>
      <c r="P305" s="1358"/>
      <c r="BH305" s="41"/>
      <c r="BI305" s="41"/>
      <c r="BJ305" s="41"/>
      <c r="BK305" s="41"/>
      <c r="BL305" s="41"/>
      <c r="BM305" s="41"/>
      <c r="BN305" s="41"/>
      <c r="BO305" s="41"/>
      <c r="BP305" s="41"/>
      <c r="BQ305" s="41"/>
      <c r="BR305" s="41"/>
      <c r="BS305" s="41"/>
      <c r="CD305" s="9"/>
      <c r="CE305" s="9"/>
      <c r="CF305" s="9"/>
      <c r="CG305" s="9"/>
      <c r="CH305" s="9"/>
      <c r="CI305" s="9"/>
      <c r="CJ305" s="9"/>
      <c r="CK305" s="9"/>
      <c r="CL305" s="9"/>
      <c r="CM305" s="9"/>
      <c r="CN305" s="9"/>
      <c r="CO305" s="9"/>
      <c r="CP305" s="9"/>
      <c r="CQ305" s="9"/>
      <c r="CR305" s="9"/>
      <c r="CS305" s="9"/>
      <c r="CT305" s="9"/>
      <c r="CU305" s="9"/>
      <c r="CV305" s="9"/>
      <c r="CW305" s="9"/>
      <c r="CX305" s="9"/>
      <c r="CY305" s="9"/>
      <c r="CZ305" s="9"/>
    </row>
    <row r="306" spans="1:104" ht="16">
      <c r="BH306" s="1200"/>
      <c r="BI306" s="1200"/>
      <c r="BJ306" s="1200"/>
      <c r="BK306" s="1200"/>
      <c r="BL306" s="1200"/>
      <c r="BM306" s="1200"/>
      <c r="BN306" s="1200"/>
      <c r="BO306" s="1200"/>
      <c r="BP306" s="1200"/>
      <c r="BQ306" s="1200"/>
      <c r="BR306" s="1200"/>
      <c r="BS306" s="14"/>
      <c r="BT306" s="1200"/>
      <c r="CD306" s="9"/>
      <c r="CE306" s="9"/>
      <c r="CF306" s="1200"/>
      <c r="CG306" s="9"/>
      <c r="CH306" s="9"/>
      <c r="CI306" s="9"/>
      <c r="CJ306" s="9"/>
      <c r="CK306" s="9"/>
      <c r="CL306" s="9"/>
      <c r="CM306" s="9"/>
      <c r="CN306" s="9"/>
      <c r="CO306" s="9"/>
      <c r="CP306" s="9"/>
      <c r="CQ306" s="9"/>
      <c r="CR306" s="9"/>
      <c r="CS306" s="9"/>
      <c r="CT306" s="1200"/>
      <c r="CU306" s="9"/>
      <c r="CV306" s="9"/>
      <c r="CW306" s="9"/>
      <c r="CX306" s="9"/>
      <c r="CY306" s="9"/>
      <c r="CZ306" s="9"/>
    </row>
    <row r="307" spans="1:104" ht="16">
      <c r="A307" s="1600" t="s">
        <v>655</v>
      </c>
      <c r="B307" s="1600"/>
      <c r="C307" s="1600"/>
      <c r="D307" s="1600"/>
      <c r="E307" s="1600"/>
      <c r="F307" s="1600"/>
      <c r="G307" s="1600"/>
      <c r="H307" s="1600"/>
      <c r="I307" s="1600"/>
      <c r="J307" s="1600"/>
      <c r="K307" s="1600"/>
      <c r="L307" s="1600"/>
      <c r="M307" s="1600"/>
      <c r="N307" s="1600"/>
      <c r="O307" s="1600"/>
      <c r="P307" s="1600"/>
      <c r="BH307" s="1200"/>
      <c r="BI307" s="1200"/>
      <c r="BJ307" s="1200"/>
      <c r="BK307" s="1200"/>
      <c r="BL307" s="1200"/>
      <c r="BM307" s="1200"/>
      <c r="BN307" s="1200"/>
      <c r="BO307" s="1200"/>
      <c r="BP307" s="1200"/>
      <c r="BQ307" s="1200"/>
      <c r="BR307" s="1200"/>
      <c r="BS307" s="14"/>
      <c r="BT307" s="1200"/>
      <c r="CD307" s="9"/>
      <c r="CE307" s="9"/>
      <c r="CF307" s="1200"/>
      <c r="CG307" s="9"/>
      <c r="CH307" s="9"/>
      <c r="CI307" s="9"/>
      <c r="CJ307" s="9"/>
      <c r="CK307" s="9"/>
      <c r="CL307" s="9"/>
      <c r="CM307" s="9"/>
      <c r="CN307" s="9"/>
      <c r="CO307" s="9"/>
      <c r="CP307" s="9"/>
      <c r="CQ307" s="9"/>
      <c r="CR307" s="9"/>
      <c r="CS307" s="9"/>
      <c r="CT307" s="1200"/>
      <c r="CU307" s="9"/>
      <c r="CV307" s="9"/>
      <c r="CW307" s="9"/>
      <c r="CX307" s="9"/>
      <c r="CY307" s="9"/>
      <c r="CZ307" s="9"/>
    </row>
    <row r="308" spans="1:104">
      <c r="BH308" s="1201"/>
      <c r="BI308" s="1201"/>
      <c r="BJ308" s="1201"/>
      <c r="BK308" s="1114"/>
      <c r="BL308" s="1204"/>
      <c r="BM308" s="1204"/>
      <c r="BN308" s="1204"/>
      <c r="BO308" s="1204"/>
      <c r="BP308" s="1204"/>
      <c r="BQ308" s="1204"/>
      <c r="BR308" s="1204"/>
      <c r="BS308" s="16"/>
      <c r="BT308" s="1201"/>
      <c r="CD308" s="9"/>
      <c r="CE308" s="9"/>
      <c r="CF308" s="1204"/>
      <c r="CG308" s="9"/>
      <c r="CH308" s="9"/>
      <c r="CI308" s="9"/>
      <c r="CJ308" s="9"/>
      <c r="CK308" s="9"/>
      <c r="CL308" s="9"/>
      <c r="CM308" s="9"/>
      <c r="CN308" s="9"/>
      <c r="CO308" s="9"/>
      <c r="CP308" s="9"/>
      <c r="CQ308" s="9"/>
      <c r="CR308" s="9"/>
      <c r="CS308" s="9"/>
      <c r="CT308" s="1204"/>
      <c r="CU308" s="9"/>
      <c r="CV308" s="9"/>
      <c r="CW308" s="9"/>
      <c r="CX308" s="9"/>
      <c r="CY308" s="9"/>
      <c r="CZ308" s="9"/>
    </row>
    <row r="309" spans="1:104">
      <c r="A309" s="894"/>
      <c r="B309" s="14"/>
      <c r="C309" s="14"/>
      <c r="D309" s="14"/>
      <c r="E309" s="14"/>
      <c r="F309" s="14"/>
      <c r="G309" s="1209"/>
      <c r="H309" s="1208"/>
      <c r="I309" s="1208"/>
      <c r="J309" s="1208"/>
      <c r="K309" s="1208"/>
      <c r="L309" s="14"/>
      <c r="M309" s="14"/>
      <c r="N309" s="14"/>
      <c r="O309" s="14"/>
      <c r="P309" s="14"/>
      <c r="Q309" s="1724" t="s">
        <v>325</v>
      </c>
      <c r="R309" s="1724"/>
      <c r="S309" s="1724"/>
      <c r="T309" s="1724"/>
      <c r="U309" s="1724"/>
      <c r="V309" s="1724"/>
      <c r="W309" s="1724"/>
      <c r="X309" s="1724"/>
      <c r="Y309" s="1724"/>
      <c r="Z309" s="1724"/>
      <c r="AA309" s="1724"/>
      <c r="AB309" s="41"/>
      <c r="AC309" s="41"/>
      <c r="AD309" s="41"/>
      <c r="AE309" s="41"/>
      <c r="AF309" s="41"/>
      <c r="AG309" s="41"/>
      <c r="BH309" s="1201"/>
      <c r="BI309" s="1201"/>
      <c r="BJ309" s="1201"/>
      <c r="BK309" s="1114"/>
      <c r="BL309" s="1204"/>
      <c r="BM309" s="1204"/>
      <c r="BN309" s="1204"/>
      <c r="BO309" s="1204"/>
      <c r="BP309" s="1204"/>
      <c r="BQ309" s="1204"/>
      <c r="BR309" s="1204"/>
      <c r="BS309" s="16"/>
      <c r="BT309" s="1201"/>
      <c r="CD309" s="9"/>
      <c r="CE309" s="9"/>
      <c r="CF309" s="1204"/>
      <c r="CG309" s="9"/>
      <c r="CH309" s="9"/>
      <c r="CI309" s="9"/>
      <c r="CJ309" s="9"/>
      <c r="CK309" s="9"/>
      <c r="CL309" s="9"/>
      <c r="CM309" s="9"/>
      <c r="CN309" s="9"/>
      <c r="CO309" s="9"/>
      <c r="CP309" s="9"/>
      <c r="CQ309" s="9"/>
      <c r="CR309" s="9"/>
      <c r="CS309" s="9"/>
      <c r="CT309" s="1204"/>
      <c r="CU309" s="9"/>
      <c r="CV309" s="9"/>
      <c r="CW309" s="9"/>
      <c r="CX309" s="9"/>
      <c r="CY309" s="9"/>
      <c r="CZ309" s="9"/>
    </row>
    <row r="310" spans="1:104" ht="126" customHeight="1">
      <c r="B310" s="1217"/>
      <c r="C310" s="1425" t="s">
        <v>325</v>
      </c>
      <c r="D310" s="1426"/>
      <c r="E310" s="1426"/>
      <c r="F310" s="1426"/>
      <c r="G310" s="1426"/>
      <c r="H310" s="1426"/>
      <c r="I310" s="1426"/>
      <c r="J310" s="1426"/>
      <c r="K310" s="1426"/>
      <c r="L310" s="1426"/>
      <c r="M310" s="1427"/>
      <c r="N310" s="1218"/>
      <c r="O310" s="1218"/>
      <c r="P310" s="1218"/>
      <c r="Q310" s="1724"/>
      <c r="R310" s="1724"/>
      <c r="S310" s="1724"/>
      <c r="T310" s="1724"/>
      <c r="U310" s="1724"/>
      <c r="V310" s="1724"/>
      <c r="W310" s="1724"/>
      <c r="X310" s="1724"/>
      <c r="Y310" s="1724"/>
      <c r="Z310" s="1724"/>
      <c r="AA310" s="1724"/>
      <c r="AB310" s="41"/>
      <c r="AC310" s="41"/>
      <c r="AD310" s="41"/>
      <c r="AE310" s="41"/>
      <c r="AF310" s="41"/>
      <c r="AG310" s="41"/>
      <c r="BH310" s="1201"/>
      <c r="BI310" s="1205"/>
      <c r="BJ310" s="1206"/>
      <c r="BK310" s="18"/>
      <c r="BL310" s="380"/>
      <c r="BM310" s="380"/>
      <c r="BN310" s="380"/>
      <c r="BO310" s="380"/>
      <c r="BP310" s="380"/>
      <c r="BQ310" s="380"/>
      <c r="BR310" s="380"/>
      <c r="BS310" s="1114"/>
      <c r="BT310" s="1201"/>
      <c r="CD310" s="9"/>
      <c r="CE310" s="9"/>
      <c r="CF310" s="9"/>
      <c r="CG310" s="9"/>
      <c r="CH310" s="9"/>
      <c r="CI310" s="9"/>
      <c r="CJ310" s="9"/>
      <c r="CK310" s="9"/>
      <c r="CL310" s="9"/>
      <c r="CM310" s="9"/>
      <c r="CN310" s="9"/>
      <c r="CO310" s="9"/>
      <c r="CP310" s="9"/>
      <c r="CQ310" s="9"/>
      <c r="CR310" s="9"/>
      <c r="CS310" s="9"/>
      <c r="CT310" s="1220"/>
      <c r="CU310" s="9"/>
      <c r="CV310" s="9"/>
      <c r="CW310" s="9"/>
      <c r="CX310" s="9"/>
      <c r="CY310" s="9"/>
      <c r="CZ310" s="9"/>
    </row>
    <row r="311" spans="1:104" ht="15.75" customHeight="1">
      <c r="B311" s="14"/>
      <c r="C311" s="1723"/>
      <c r="D311" s="1724"/>
      <c r="E311" s="1724"/>
      <c r="F311" s="1724"/>
      <c r="G311" s="1724"/>
      <c r="H311" s="1724"/>
      <c r="I311" s="1724"/>
      <c r="J311" s="1724"/>
      <c r="K311" s="1724"/>
      <c r="L311" s="1724"/>
      <c r="M311" s="1725"/>
      <c r="N311" s="1218"/>
      <c r="O311" s="1218"/>
      <c r="P311" s="1218"/>
      <c r="Q311" s="1727"/>
      <c r="R311" s="1727"/>
      <c r="S311" s="1728"/>
      <c r="T311" s="1686" t="s">
        <v>202</v>
      </c>
      <c r="U311" s="1688" t="s">
        <v>313</v>
      </c>
      <c r="V311" s="1688" t="s">
        <v>314</v>
      </c>
      <c r="W311" s="1688" t="s">
        <v>315</v>
      </c>
      <c r="X311" s="1688" t="s">
        <v>316</v>
      </c>
      <c r="Y311" s="1688" t="s">
        <v>317</v>
      </c>
      <c r="Z311" s="1688" t="s">
        <v>318</v>
      </c>
      <c r="AA311" s="1732" t="s">
        <v>307</v>
      </c>
      <c r="AB311" s="41"/>
      <c r="AC311" s="41"/>
      <c r="AD311" s="41"/>
      <c r="AE311" s="41"/>
      <c r="AF311" s="41"/>
      <c r="AG311" s="41"/>
      <c r="BH311" s="1201"/>
      <c r="BI311" s="1205"/>
      <c r="BJ311" s="1206"/>
      <c r="BK311" s="18"/>
      <c r="BL311" s="145"/>
      <c r="BM311" s="145"/>
      <c r="BN311" s="145"/>
      <c r="BO311" s="145"/>
      <c r="BP311" s="145"/>
      <c r="BQ311" s="34"/>
      <c r="BR311" s="34"/>
      <c r="BS311" s="1203"/>
      <c r="BT311" s="1201"/>
      <c r="CD311" s="9"/>
      <c r="CE311" s="9"/>
      <c r="CF311" s="145"/>
      <c r="CG311" s="9"/>
      <c r="CH311" s="9"/>
      <c r="CI311" s="9"/>
      <c r="CJ311" s="9"/>
      <c r="CK311" s="9"/>
      <c r="CL311" s="9"/>
      <c r="CM311" s="9"/>
      <c r="CN311" s="9"/>
      <c r="CO311" s="9"/>
      <c r="CP311" s="9"/>
      <c r="CQ311" s="9"/>
      <c r="CR311" s="9"/>
      <c r="CS311" s="9"/>
      <c r="CT311" s="145"/>
      <c r="CU311" s="9"/>
      <c r="CV311" s="9"/>
      <c r="CW311" s="9"/>
      <c r="CX311" s="9"/>
      <c r="CY311" s="9"/>
      <c r="CZ311" s="9"/>
    </row>
    <row r="312" spans="1:104" ht="51" customHeight="1">
      <c r="B312" s="14"/>
      <c r="C312" s="1726"/>
      <c r="D312" s="1727"/>
      <c r="E312" s="1728"/>
      <c r="F312" s="1686" t="s">
        <v>202</v>
      </c>
      <c r="G312" s="1688" t="s">
        <v>313</v>
      </c>
      <c r="H312" s="1688" t="s">
        <v>314</v>
      </c>
      <c r="I312" s="1688" t="s">
        <v>315</v>
      </c>
      <c r="J312" s="1688" t="s">
        <v>316</v>
      </c>
      <c r="K312" s="1688" t="s">
        <v>317</v>
      </c>
      <c r="L312" s="1688" t="s">
        <v>318</v>
      </c>
      <c r="M312" s="1688" t="s">
        <v>307</v>
      </c>
      <c r="N312" s="380"/>
      <c r="O312" s="1204"/>
      <c r="P312" s="1204"/>
      <c r="Q312" s="1730"/>
      <c r="R312" s="1730"/>
      <c r="S312" s="1731"/>
      <c r="T312" s="1687"/>
      <c r="U312" s="1689"/>
      <c r="V312" s="1689"/>
      <c r="W312" s="1689"/>
      <c r="X312" s="1689"/>
      <c r="Y312" s="1689"/>
      <c r="Z312" s="1689"/>
      <c r="AA312" s="1733"/>
      <c r="AB312" s="41"/>
      <c r="AC312" s="41"/>
      <c r="AD312" s="41"/>
      <c r="AE312" s="41"/>
      <c r="AF312" s="41"/>
      <c r="AG312" s="41"/>
      <c r="BH312" s="1201"/>
      <c r="BI312" s="1205"/>
      <c r="BJ312" s="1206"/>
      <c r="BK312" s="145"/>
      <c r="BL312" s="145"/>
      <c r="BM312" s="145"/>
      <c r="BN312" s="145"/>
      <c r="BO312" s="145"/>
      <c r="BP312" s="145"/>
      <c r="BQ312" s="145"/>
      <c r="BR312" s="145"/>
      <c r="BS312" s="18"/>
      <c r="BT312" s="1201"/>
      <c r="CD312" s="9"/>
      <c r="CE312" s="9"/>
      <c r="CF312" s="145"/>
      <c r="CG312" s="9"/>
      <c r="CH312" s="9"/>
      <c r="CI312" s="9"/>
      <c r="CJ312" s="9"/>
      <c r="CK312" s="9"/>
      <c r="CL312" s="9"/>
      <c r="CM312" s="9"/>
      <c r="CN312" s="9"/>
      <c r="CO312" s="9"/>
      <c r="CP312" s="9"/>
      <c r="CQ312" s="9"/>
      <c r="CR312" s="9"/>
      <c r="CS312" s="9"/>
      <c r="CT312" s="145"/>
      <c r="CU312" s="9"/>
      <c r="CV312" s="9"/>
      <c r="CW312" s="9"/>
      <c r="CX312" s="9"/>
      <c r="CY312" s="9"/>
      <c r="CZ312" s="9"/>
    </row>
    <row r="313" spans="1:104" ht="29.25" customHeight="1" thickBot="1">
      <c r="B313" s="14"/>
      <c r="C313" s="1729"/>
      <c r="D313" s="1730"/>
      <c r="E313" s="1731"/>
      <c r="F313" s="1687"/>
      <c r="G313" s="1689"/>
      <c r="H313" s="1689"/>
      <c r="I313" s="1689"/>
      <c r="J313" s="1689"/>
      <c r="K313" s="1689"/>
      <c r="L313" s="1689"/>
      <c r="M313" s="1689"/>
      <c r="N313" s="380"/>
      <c r="O313" s="1204"/>
      <c r="P313" s="1204"/>
      <c r="Q313" s="1680" t="s">
        <v>888</v>
      </c>
      <c r="R313" s="1682" t="s">
        <v>889</v>
      </c>
      <c r="S313" s="1667" t="s">
        <v>912</v>
      </c>
      <c r="T313" s="1653" t="s">
        <v>24</v>
      </c>
      <c r="U313" s="89" t="s">
        <v>319</v>
      </c>
      <c r="V313" s="89" t="s">
        <v>320</v>
      </c>
      <c r="W313" s="89" t="s">
        <v>321</v>
      </c>
      <c r="X313" s="89" t="s">
        <v>322</v>
      </c>
      <c r="Y313" s="89" t="s">
        <v>323</v>
      </c>
      <c r="Z313" s="89" t="s">
        <v>324</v>
      </c>
      <c r="AA313" s="518" t="s">
        <v>311</v>
      </c>
      <c r="AB313" s="1207"/>
      <c r="BH313" s="1201"/>
      <c r="BI313" s="1205"/>
      <c r="BJ313" s="1206"/>
      <c r="BK313" s="145"/>
      <c r="BL313" s="145"/>
      <c r="BM313" s="145"/>
      <c r="BN313" s="145"/>
      <c r="BO313" s="145"/>
      <c r="BP313" s="145"/>
      <c r="BQ313" s="145"/>
      <c r="BR313" s="145"/>
      <c r="BS313" s="18"/>
      <c r="BT313" s="1201"/>
      <c r="CD313" s="9"/>
      <c r="CE313" s="9"/>
      <c r="CF313" s="145"/>
      <c r="CG313" s="9"/>
      <c r="CH313" s="9"/>
      <c r="CI313" s="9"/>
      <c r="CJ313" s="9"/>
      <c r="CK313" s="9"/>
      <c r="CL313" s="9"/>
      <c r="CM313" s="9"/>
      <c r="CN313" s="9"/>
      <c r="CO313" s="9"/>
      <c r="CP313" s="9"/>
      <c r="CQ313" s="9"/>
      <c r="CR313" s="9"/>
      <c r="CS313" s="9"/>
      <c r="CT313" s="145"/>
      <c r="CU313" s="9"/>
      <c r="CV313" s="9"/>
      <c r="CW313" s="9"/>
      <c r="CX313" s="9"/>
      <c r="CY313" s="9"/>
      <c r="CZ313" s="9"/>
    </row>
    <row r="314" spans="1:104" ht="15" customHeight="1" thickBot="1">
      <c r="B314" s="14"/>
      <c r="C314" s="1662" t="s">
        <v>888</v>
      </c>
      <c r="D314" s="1661" t="s">
        <v>900</v>
      </c>
      <c r="E314" s="1673" t="s">
        <v>901</v>
      </c>
      <c r="F314" s="1653" t="s">
        <v>24</v>
      </c>
      <c r="G314" s="89" t="s">
        <v>319</v>
      </c>
      <c r="H314" s="89" t="s">
        <v>320</v>
      </c>
      <c r="I314" s="89" t="s">
        <v>321</v>
      </c>
      <c r="J314" s="89" t="s">
        <v>322</v>
      </c>
      <c r="K314" s="89" t="s">
        <v>323</v>
      </c>
      <c r="L314" s="89" t="s">
        <v>324</v>
      </c>
      <c r="M314" s="89" t="s">
        <v>311</v>
      </c>
      <c r="N314" s="1220"/>
      <c r="O314" s="380"/>
      <c r="P314" s="380"/>
      <c r="Q314" s="1681"/>
      <c r="R314" s="1683"/>
      <c r="S314" s="1667"/>
      <c r="T314" s="1654"/>
      <c r="U314" s="115" t="s">
        <v>24</v>
      </c>
      <c r="V314" s="115" t="s">
        <v>24</v>
      </c>
      <c r="W314" s="115" t="s">
        <v>24</v>
      </c>
      <c r="X314" s="115" t="s">
        <v>24</v>
      </c>
      <c r="Y314" s="115" t="s">
        <v>24</v>
      </c>
      <c r="Z314" s="92" t="s">
        <v>32</v>
      </c>
      <c r="AA314" s="519" t="s">
        <v>32</v>
      </c>
      <c r="AB314" s="41"/>
      <c r="AH314" s="41"/>
      <c r="AI314" s="41"/>
      <c r="AJ314" s="360" t="s">
        <v>579</v>
      </c>
      <c r="AK314" s="41"/>
      <c r="AL314" s="41"/>
      <c r="BO314" s="145"/>
      <c r="BP314" s="145"/>
      <c r="BQ314" s="145"/>
      <c r="BR314" s="145"/>
      <c r="BS314" s="18"/>
      <c r="BT314" s="1201"/>
      <c r="CD314" s="9"/>
      <c r="CE314" s="9"/>
      <c r="CF314" s="145"/>
      <c r="CG314" s="9"/>
      <c r="CH314" s="9"/>
      <c r="CI314" s="9"/>
      <c r="CJ314" s="9"/>
      <c r="CK314" s="9"/>
      <c r="CL314" s="9"/>
      <c r="CM314" s="9"/>
      <c r="CN314" s="9"/>
      <c r="CO314" s="9"/>
      <c r="CP314" s="9"/>
      <c r="CQ314" s="9"/>
      <c r="CR314" s="9"/>
      <c r="CS314" s="9"/>
      <c r="CT314" s="145"/>
      <c r="CU314" s="9"/>
      <c r="CV314" s="9"/>
      <c r="CW314" s="9"/>
      <c r="CX314" s="9"/>
      <c r="CY314" s="9"/>
      <c r="CZ314" s="9"/>
    </row>
    <row r="315" spans="1:104" ht="16">
      <c r="B315" s="14"/>
      <c r="C315" s="1662"/>
      <c r="D315" s="1661"/>
      <c r="E315" s="1673"/>
      <c r="F315" s="1654"/>
      <c r="G315" s="115" t="s">
        <v>24</v>
      </c>
      <c r="H315" s="115" t="s">
        <v>24</v>
      </c>
      <c r="I315" s="115" t="s">
        <v>24</v>
      </c>
      <c r="J315" s="115" t="s">
        <v>24</v>
      </c>
      <c r="K315" s="115" t="s">
        <v>24</v>
      </c>
      <c r="L315" s="92" t="s">
        <v>32</v>
      </c>
      <c r="M315" s="92" t="s">
        <v>32</v>
      </c>
      <c r="N315" s="17"/>
      <c r="O315" s="145"/>
      <c r="P315" s="145"/>
      <c r="Q315" s="1681"/>
      <c r="R315" s="1683"/>
      <c r="S315" s="1667"/>
      <c r="T315" s="1199" t="s">
        <v>204</v>
      </c>
      <c r="U315" s="1198">
        <v>0.59222222222222221</v>
      </c>
      <c r="V315" s="1198">
        <v>0.75</v>
      </c>
      <c r="W315" s="1198">
        <v>0.75</v>
      </c>
      <c r="X315" s="1198">
        <v>1</v>
      </c>
      <c r="Y315" s="1198">
        <v>0.15</v>
      </c>
      <c r="Z315" s="1198">
        <f>'[2]3.Hd'!$E$403</f>
        <v>1.6960999999999999</v>
      </c>
      <c r="AA315" s="512">
        <f t="shared" ref="AA315:AA326" si="38">X315*V315*(1-Y315)*Z315</f>
        <v>1.08126375</v>
      </c>
      <c r="AB315" s="41"/>
      <c r="AH315" s="1666" t="s">
        <v>891</v>
      </c>
      <c r="AI315" s="1653" t="s">
        <v>24</v>
      </c>
      <c r="AJ315" s="89" t="s">
        <v>319</v>
      </c>
      <c r="AK315" s="89" t="s">
        <v>320</v>
      </c>
      <c r="AL315" s="89" t="s">
        <v>321</v>
      </c>
      <c r="AM315" s="89" t="s">
        <v>322</v>
      </c>
      <c r="AN315" s="89" t="s">
        <v>323</v>
      </c>
      <c r="AO315" s="89" t="s">
        <v>324</v>
      </c>
      <c r="AP315" s="518" t="s">
        <v>311</v>
      </c>
      <c r="AR315" s="1658" t="s">
        <v>892</v>
      </c>
      <c r="AS315" s="1653" t="s">
        <v>24</v>
      </c>
      <c r="AT315" s="89" t="s">
        <v>319</v>
      </c>
      <c r="AU315" s="89" t="s">
        <v>320</v>
      </c>
      <c r="AV315" s="89" t="s">
        <v>321</v>
      </c>
      <c r="AW315" s="89" t="s">
        <v>322</v>
      </c>
      <c r="AX315" s="89" t="s">
        <v>323</v>
      </c>
      <c r="AY315" s="89" t="s">
        <v>324</v>
      </c>
      <c r="AZ315" s="518" t="s">
        <v>311</v>
      </c>
      <c r="BO315" s="145"/>
      <c r="BP315" s="145"/>
      <c r="BQ315" s="145"/>
      <c r="BR315" s="145"/>
      <c r="BS315" s="18"/>
      <c r="BT315" s="1201"/>
      <c r="CD315" s="9"/>
      <c r="CE315" s="9"/>
      <c r="CF315" s="145"/>
      <c r="CG315" s="9"/>
      <c r="CH315" s="9"/>
      <c r="CI315" s="9"/>
      <c r="CJ315" s="9"/>
      <c r="CK315" s="9"/>
      <c r="CL315" s="9"/>
      <c r="CM315" s="9"/>
      <c r="CN315" s="9"/>
      <c r="CO315" s="9"/>
      <c r="CP315" s="9"/>
      <c r="CQ315" s="9"/>
      <c r="CR315" s="9"/>
      <c r="CS315" s="9"/>
      <c r="CT315" s="145"/>
      <c r="CU315" s="9"/>
      <c r="CV315" s="9"/>
      <c r="CW315" s="9"/>
      <c r="CX315" s="9"/>
      <c r="CY315" s="9"/>
      <c r="CZ315" s="9"/>
    </row>
    <row r="316" spans="1:104">
      <c r="B316" s="14"/>
      <c r="C316" s="1662"/>
      <c r="D316" s="1661"/>
      <c r="E316" s="1673"/>
      <c r="F316" s="1214" t="s">
        <v>204</v>
      </c>
      <c r="G316" s="1213">
        <v>0.19500000000000001</v>
      </c>
      <c r="H316" s="1213">
        <v>0.75</v>
      </c>
      <c r="I316" s="1213">
        <v>0.75</v>
      </c>
      <c r="J316" s="1213">
        <v>1</v>
      </c>
      <c r="K316" s="1213">
        <v>0.15</v>
      </c>
      <c r="L316" s="1213">
        <f>'3.Hd'!$E$251</f>
        <v>2.8375000000000004</v>
      </c>
      <c r="M316" s="1213">
        <f>J316*H316*(1-K316)*L316</f>
        <v>1.8089062500000002</v>
      </c>
      <c r="N316" s="145"/>
      <c r="O316" s="145"/>
      <c r="P316" s="145"/>
      <c r="Q316" s="1681"/>
      <c r="R316" s="1683"/>
      <c r="S316" s="1667"/>
      <c r="T316" s="1199" t="s">
        <v>205</v>
      </c>
      <c r="U316" s="1198">
        <v>0.73109756097560974</v>
      </c>
      <c r="V316" s="1198">
        <v>0.75</v>
      </c>
      <c r="W316" s="1198">
        <v>0.75</v>
      </c>
      <c r="X316" s="1198">
        <v>1</v>
      </c>
      <c r="Y316" s="1198">
        <v>0.15</v>
      </c>
      <c r="Z316" s="1198">
        <f>'[2]3.Hd'!$E$403</f>
        <v>1.6960999999999999</v>
      </c>
      <c r="AA316" s="512">
        <f t="shared" si="38"/>
        <v>1.08126375</v>
      </c>
      <c r="AB316" s="41"/>
      <c r="AH316" s="1667"/>
      <c r="AI316" s="1654"/>
      <c r="AJ316" s="115" t="s">
        <v>24</v>
      </c>
      <c r="AK316" s="115" t="s">
        <v>24</v>
      </c>
      <c r="AL316" s="115" t="s">
        <v>24</v>
      </c>
      <c r="AM316" s="115" t="s">
        <v>24</v>
      </c>
      <c r="AN316" s="115" t="s">
        <v>24</v>
      </c>
      <c r="AO316" s="92" t="s">
        <v>32</v>
      </c>
      <c r="AP316" s="519" t="s">
        <v>32</v>
      </c>
      <c r="AR316" s="1659"/>
      <c r="AS316" s="1654"/>
      <c r="AT316" s="115" t="s">
        <v>24</v>
      </c>
      <c r="AU316" s="115" t="s">
        <v>24</v>
      </c>
      <c r="AV316" s="115" t="s">
        <v>24</v>
      </c>
      <c r="AW316" s="115" t="s">
        <v>24</v>
      </c>
      <c r="AX316" s="115" t="s">
        <v>24</v>
      </c>
      <c r="AY316" s="92" t="s">
        <v>32</v>
      </c>
      <c r="AZ316" s="519" t="s">
        <v>32</v>
      </c>
      <c r="BO316" s="145"/>
      <c r="BP316" s="145"/>
      <c r="BQ316" s="145"/>
      <c r="BR316" s="145"/>
      <c r="BS316" s="18"/>
      <c r="BT316" s="1201"/>
      <c r="CD316" s="9"/>
      <c r="CE316" s="9"/>
      <c r="CF316" s="145"/>
      <c r="CG316" s="9"/>
      <c r="CH316" s="9"/>
      <c r="CI316" s="9"/>
      <c r="CJ316" s="9"/>
      <c r="CK316" s="9"/>
      <c r="CL316" s="9"/>
      <c r="CM316" s="9"/>
      <c r="CN316" s="9"/>
      <c r="CO316" s="9"/>
      <c r="CP316" s="9"/>
      <c r="CQ316" s="9"/>
      <c r="CR316" s="9"/>
      <c r="CS316" s="9"/>
      <c r="CT316" s="145"/>
      <c r="CU316" s="9"/>
      <c r="CV316" s="9"/>
      <c r="CW316" s="9"/>
      <c r="CX316" s="9"/>
      <c r="CY316" s="9"/>
      <c r="CZ316" s="9"/>
    </row>
    <row r="317" spans="1:104">
      <c r="B317" s="14"/>
      <c r="C317" s="1662"/>
      <c r="D317" s="1661"/>
      <c r="E317" s="1673"/>
      <c r="F317" s="1214" t="s">
        <v>205</v>
      </c>
      <c r="G317" s="1213">
        <v>0.27500000000000002</v>
      </c>
      <c r="H317" s="1213">
        <v>0.75</v>
      </c>
      <c r="I317" s="1213">
        <v>0.75</v>
      </c>
      <c r="J317" s="1213">
        <v>1</v>
      </c>
      <c r="K317" s="1213">
        <v>0.15</v>
      </c>
      <c r="L317" s="1213">
        <f>'3.Hd'!$E$251</f>
        <v>2.8375000000000004</v>
      </c>
      <c r="M317" s="1213">
        <f t="shared" ref="M317:M327" si="39">J317*H317*(1-K317)*L317</f>
        <v>1.8089062500000002</v>
      </c>
      <c r="N317" s="145"/>
      <c r="O317" s="145"/>
      <c r="P317" s="145"/>
      <c r="Q317" s="1681"/>
      <c r="R317" s="1683"/>
      <c r="S317" s="1667"/>
      <c r="T317" s="1199" t="s">
        <v>206</v>
      </c>
      <c r="U317" s="1198">
        <v>0.77</v>
      </c>
      <c r="V317" s="1198">
        <v>0.75</v>
      </c>
      <c r="W317" s="1198">
        <v>0.75</v>
      </c>
      <c r="X317" s="1198">
        <v>1</v>
      </c>
      <c r="Y317" s="1198">
        <v>0.15</v>
      </c>
      <c r="Z317" s="1198">
        <f>'[2]3.Hd'!$E$403</f>
        <v>1.6960999999999999</v>
      </c>
      <c r="AA317" s="512">
        <f t="shared" si="38"/>
        <v>1.08126375</v>
      </c>
      <c r="AB317" s="41"/>
      <c r="AH317" s="1667"/>
      <c r="AI317" s="1196" t="s">
        <v>204</v>
      </c>
      <c r="AJ317" s="1261">
        <v>0.39</v>
      </c>
      <c r="AK317" s="1261">
        <v>0.75</v>
      </c>
      <c r="AL317" s="1261">
        <v>0.75</v>
      </c>
      <c r="AM317" s="1261">
        <v>1</v>
      </c>
      <c r="AN317" s="1261">
        <v>0.15</v>
      </c>
      <c r="AO317" s="1261">
        <f>'[2]3.Hd'!$E$403</f>
        <v>1.6960999999999999</v>
      </c>
      <c r="AP317" s="512">
        <f t="shared" ref="AP317:AP328" si="40">AM317*AK317*(1-AN317)*AO317</f>
        <v>1.08126375</v>
      </c>
      <c r="AR317" s="1659"/>
      <c r="AS317" s="1262" t="s">
        <v>204</v>
      </c>
      <c r="AT317" s="1261">
        <v>0.39</v>
      </c>
      <c r="AU317" s="1261">
        <v>0.75</v>
      </c>
      <c r="AV317" s="1261">
        <v>0.75</v>
      </c>
      <c r="AW317" s="1261">
        <v>1</v>
      </c>
      <c r="AX317" s="1261">
        <v>0.15</v>
      </c>
      <c r="AY317" s="1261">
        <f>'[2]3.Hd'!$E$403</f>
        <v>1.6960999999999999</v>
      </c>
      <c r="AZ317" s="512">
        <f t="shared" ref="AZ317:AZ328" si="41">AW317*AU317*(1-AX317)*AY317</f>
        <v>1.08126375</v>
      </c>
      <c r="BO317" s="145"/>
      <c r="BP317" s="145"/>
      <c r="BQ317" s="145"/>
      <c r="BR317" s="145"/>
      <c r="BS317" s="18"/>
      <c r="BT317" s="1201"/>
      <c r="CD317" s="9"/>
      <c r="CE317" s="9"/>
      <c r="CF317" s="145"/>
      <c r="CG317" s="9"/>
      <c r="CH317" s="9"/>
      <c r="CI317" s="9"/>
      <c r="CJ317" s="9"/>
      <c r="CK317" s="9"/>
      <c r="CL317" s="9"/>
      <c r="CM317" s="9"/>
      <c r="CN317" s="9"/>
      <c r="CO317" s="9"/>
      <c r="CP317" s="9"/>
      <c r="CQ317" s="9"/>
      <c r="CR317" s="9"/>
      <c r="CS317" s="9"/>
      <c r="CT317" s="145"/>
      <c r="CU317" s="9"/>
      <c r="CV317" s="9"/>
      <c r="CW317" s="9"/>
      <c r="CX317" s="9"/>
      <c r="CY317" s="9"/>
      <c r="CZ317" s="9"/>
    </row>
    <row r="318" spans="1:104">
      <c r="B318" s="14"/>
      <c r="C318" s="1662"/>
      <c r="D318" s="1661"/>
      <c r="E318" s="1673"/>
      <c r="F318" s="1214" t="s">
        <v>206</v>
      </c>
      <c r="G318" s="1213">
        <v>0.315</v>
      </c>
      <c r="H318" s="1213">
        <v>0.75</v>
      </c>
      <c r="I318" s="1213">
        <v>0.75</v>
      </c>
      <c r="J318" s="1213">
        <v>1</v>
      </c>
      <c r="K318" s="1213">
        <v>0.15</v>
      </c>
      <c r="L318" s="1213">
        <f>'3.Hd'!$E$251</f>
        <v>2.8375000000000004</v>
      </c>
      <c r="M318" s="1213">
        <f t="shared" si="39"/>
        <v>1.8089062500000002</v>
      </c>
      <c r="N318" s="145"/>
      <c r="O318" s="145"/>
      <c r="P318" s="145"/>
      <c r="Q318" s="1681"/>
      <c r="R318" s="1683"/>
      <c r="S318" s="1667"/>
      <c r="T318" s="1199" t="s">
        <v>207</v>
      </c>
      <c r="U318" s="1198">
        <v>0.72054054054054051</v>
      </c>
      <c r="V318" s="1198">
        <v>0.75</v>
      </c>
      <c r="W318" s="1198">
        <v>0.75</v>
      </c>
      <c r="X318" s="1198">
        <v>1</v>
      </c>
      <c r="Y318" s="1198">
        <v>0.15</v>
      </c>
      <c r="Z318" s="1198">
        <f>'[2]3.Hd'!$E$403</f>
        <v>1.6960999999999999</v>
      </c>
      <c r="AA318" s="512">
        <f t="shared" si="38"/>
        <v>1.08126375</v>
      </c>
      <c r="AB318" s="41"/>
      <c r="AH318" s="1667"/>
      <c r="AI318" s="1196" t="s">
        <v>205</v>
      </c>
      <c r="AJ318" s="1261">
        <v>0.55000000000000004</v>
      </c>
      <c r="AK318" s="1261">
        <v>0.75</v>
      </c>
      <c r="AL318" s="1261">
        <v>0.75</v>
      </c>
      <c r="AM318" s="1261">
        <v>1</v>
      </c>
      <c r="AN318" s="1261">
        <v>0.15</v>
      </c>
      <c r="AO318" s="1261">
        <f>'[2]3.Hd'!$E$403</f>
        <v>1.6960999999999999</v>
      </c>
      <c r="AP318" s="512">
        <f t="shared" si="40"/>
        <v>1.08126375</v>
      </c>
      <c r="AR318" s="1659"/>
      <c r="AS318" s="1262" t="s">
        <v>205</v>
      </c>
      <c r="AT318" s="1261">
        <v>0.55000000000000004</v>
      </c>
      <c r="AU318" s="1261">
        <v>0.75</v>
      </c>
      <c r="AV318" s="1261">
        <v>0.75</v>
      </c>
      <c r="AW318" s="1261">
        <v>1</v>
      </c>
      <c r="AX318" s="1261">
        <v>0.15</v>
      </c>
      <c r="AY318" s="1261">
        <f>'[2]3.Hd'!$E$403</f>
        <v>1.6960999999999999</v>
      </c>
      <c r="AZ318" s="512">
        <f t="shared" si="41"/>
        <v>1.08126375</v>
      </c>
      <c r="BO318" s="145"/>
      <c r="BP318" s="145"/>
      <c r="BQ318" s="145"/>
      <c r="BR318" s="145"/>
      <c r="BS318" s="18"/>
      <c r="BT318" s="1201"/>
      <c r="CD318" s="9"/>
      <c r="CE318" s="9"/>
      <c r="CF318" s="145"/>
      <c r="CG318" s="9"/>
      <c r="CH318" s="9"/>
      <c r="CI318" s="9"/>
      <c r="CJ318" s="9"/>
      <c r="CK318" s="9"/>
      <c r="CL318" s="9"/>
      <c r="CM318" s="9"/>
      <c r="CN318" s="9"/>
      <c r="CO318" s="9"/>
      <c r="CP318" s="9"/>
      <c r="CQ318" s="9"/>
      <c r="CR318" s="9"/>
      <c r="CS318" s="9"/>
      <c r="CT318" s="145"/>
      <c r="CU318" s="9"/>
      <c r="CV318" s="9"/>
      <c r="CW318" s="9"/>
      <c r="CX318" s="9"/>
      <c r="CY318" s="9"/>
      <c r="CZ318" s="9"/>
    </row>
    <row r="319" spans="1:104">
      <c r="B319" s="14"/>
      <c r="C319" s="1662"/>
      <c r="D319" s="1661"/>
      <c r="E319" s="1673"/>
      <c r="F319" s="1214" t="s">
        <v>207</v>
      </c>
      <c r="G319" s="1213">
        <v>0.31</v>
      </c>
      <c r="H319" s="1213">
        <v>0.75</v>
      </c>
      <c r="I319" s="1213">
        <v>0.75</v>
      </c>
      <c r="J319" s="1213">
        <v>1</v>
      </c>
      <c r="K319" s="1213">
        <v>0.15</v>
      </c>
      <c r="L319" s="1213">
        <f>'3.Hd'!$E$251</f>
        <v>2.8375000000000004</v>
      </c>
      <c r="M319" s="1213">
        <f t="shared" si="39"/>
        <v>1.8089062500000002</v>
      </c>
      <c r="N319" s="145"/>
      <c r="O319" s="145"/>
      <c r="P319" s="145"/>
      <c r="Q319" s="1681"/>
      <c r="R319" s="1683"/>
      <c r="S319" s="1667"/>
      <c r="T319" s="1199" t="s">
        <v>208</v>
      </c>
      <c r="U319" s="1198">
        <v>0.61935483870967745</v>
      </c>
      <c r="V319" s="1198">
        <v>0.75</v>
      </c>
      <c r="W319" s="1198">
        <v>0.75</v>
      </c>
      <c r="X319" s="1198">
        <v>1</v>
      </c>
      <c r="Y319" s="1198">
        <v>0.15</v>
      </c>
      <c r="Z319" s="1198">
        <f>'[2]3.Hd'!$E$403</f>
        <v>1.6960999999999999</v>
      </c>
      <c r="AA319" s="512">
        <f t="shared" si="38"/>
        <v>1.08126375</v>
      </c>
      <c r="AB319" s="41"/>
      <c r="AH319" s="1667"/>
      <c r="AI319" s="1196" t="s">
        <v>206</v>
      </c>
      <c r="AJ319" s="1261">
        <v>0.63</v>
      </c>
      <c r="AK319" s="1261">
        <v>0.75</v>
      </c>
      <c r="AL319" s="1261">
        <v>0.75</v>
      </c>
      <c r="AM319" s="1261">
        <v>1</v>
      </c>
      <c r="AN319" s="1261">
        <v>0.15</v>
      </c>
      <c r="AO319" s="1261">
        <f>'[2]3.Hd'!$E$403</f>
        <v>1.6960999999999999</v>
      </c>
      <c r="AP319" s="512">
        <f t="shared" si="40"/>
        <v>1.08126375</v>
      </c>
      <c r="AR319" s="1659"/>
      <c r="AS319" s="1262" t="s">
        <v>206</v>
      </c>
      <c r="AT319" s="1261">
        <v>0.63</v>
      </c>
      <c r="AU319" s="1261">
        <v>0.75</v>
      </c>
      <c r="AV319" s="1261">
        <v>0.75</v>
      </c>
      <c r="AW319" s="1261">
        <v>1</v>
      </c>
      <c r="AX319" s="1261">
        <v>0.15</v>
      </c>
      <c r="AY319" s="1261">
        <f>'[2]3.Hd'!$E$403</f>
        <v>1.6960999999999999</v>
      </c>
      <c r="AZ319" s="512">
        <f t="shared" si="41"/>
        <v>1.08126375</v>
      </c>
      <c r="CD319" s="9"/>
      <c r="CE319" s="9"/>
      <c r="CF319" s="145"/>
      <c r="CG319" s="9"/>
      <c r="CH319" s="9"/>
      <c r="CI319" s="9"/>
      <c r="CJ319" s="9"/>
      <c r="CK319" s="9"/>
      <c r="CL319" s="9"/>
      <c r="CM319" s="9"/>
      <c r="CN319" s="9"/>
      <c r="CO319" s="9"/>
      <c r="CP319" s="9"/>
      <c r="CQ319" s="9"/>
      <c r="CR319" s="9"/>
      <c r="CS319" s="9"/>
      <c r="CT319" s="145"/>
      <c r="CU319" s="9"/>
      <c r="CV319" s="9"/>
      <c r="CW319" s="9"/>
      <c r="CX319" s="9"/>
      <c r="CY319" s="9"/>
      <c r="CZ319" s="9"/>
    </row>
    <row r="320" spans="1:104">
      <c r="B320" s="14"/>
      <c r="C320" s="1662"/>
      <c r="D320" s="1661"/>
      <c r="E320" s="1673"/>
      <c r="F320" s="1214" t="s">
        <v>208</v>
      </c>
      <c r="G320" s="1213">
        <v>0.32</v>
      </c>
      <c r="H320" s="1213">
        <v>0.75</v>
      </c>
      <c r="I320" s="1213">
        <v>0.75</v>
      </c>
      <c r="J320" s="1213">
        <v>1</v>
      </c>
      <c r="K320" s="1213">
        <v>0.15</v>
      </c>
      <c r="L320" s="1213">
        <f>'3.Hd'!$E$251</f>
        <v>2.8375000000000004</v>
      </c>
      <c r="M320" s="1213">
        <f t="shared" si="39"/>
        <v>1.8089062500000002</v>
      </c>
      <c r="N320" s="145"/>
      <c r="O320" s="145"/>
      <c r="P320" s="145"/>
      <c r="Q320" s="1681"/>
      <c r="R320" s="1683"/>
      <c r="S320" s="1667"/>
      <c r="T320" s="1199" t="s">
        <v>209</v>
      </c>
      <c r="U320" s="1198">
        <v>0.53428571428571436</v>
      </c>
      <c r="V320" s="1198">
        <v>0.75</v>
      </c>
      <c r="W320" s="1198">
        <v>0.75</v>
      </c>
      <c r="X320" s="1198">
        <v>1</v>
      </c>
      <c r="Y320" s="1198">
        <v>0.15</v>
      </c>
      <c r="Z320" s="1198">
        <f>'[2]3.Hd'!$E$403</f>
        <v>1.6960999999999999</v>
      </c>
      <c r="AA320" s="512">
        <f t="shared" si="38"/>
        <v>1.08126375</v>
      </c>
      <c r="AB320" s="41"/>
      <c r="AH320" s="1667"/>
      <c r="AI320" s="1196" t="s">
        <v>207</v>
      </c>
      <c r="AJ320" s="1261">
        <v>0.62</v>
      </c>
      <c r="AK320" s="1261">
        <v>0.75</v>
      </c>
      <c r="AL320" s="1261">
        <v>0.75</v>
      </c>
      <c r="AM320" s="1261">
        <v>1</v>
      </c>
      <c r="AN320" s="1261">
        <v>0.15</v>
      </c>
      <c r="AO320" s="1261">
        <f>'[2]3.Hd'!$E$403</f>
        <v>1.6960999999999999</v>
      </c>
      <c r="AP320" s="512">
        <f t="shared" si="40"/>
        <v>1.08126375</v>
      </c>
      <c r="AR320" s="1659"/>
      <c r="AS320" s="1262" t="s">
        <v>207</v>
      </c>
      <c r="AT320" s="1261">
        <v>0.62</v>
      </c>
      <c r="AU320" s="1261">
        <v>0.75</v>
      </c>
      <c r="AV320" s="1261">
        <v>0.75</v>
      </c>
      <c r="AW320" s="1261">
        <v>1</v>
      </c>
      <c r="AX320" s="1261">
        <v>0.15</v>
      </c>
      <c r="AY320" s="1261">
        <f>'[2]3.Hd'!$E$403</f>
        <v>1.6960999999999999</v>
      </c>
      <c r="AZ320" s="512">
        <f t="shared" si="41"/>
        <v>1.08126375</v>
      </c>
      <c r="CD320" s="9"/>
      <c r="CE320" s="9"/>
      <c r="CF320" s="145"/>
      <c r="CG320" s="9"/>
      <c r="CH320" s="9"/>
      <c r="CI320" s="9"/>
      <c r="CJ320" s="9"/>
      <c r="CK320" s="9"/>
      <c r="CL320" s="9"/>
      <c r="CM320" s="9"/>
      <c r="CN320" s="9"/>
      <c r="CO320" s="9"/>
      <c r="CP320" s="9"/>
      <c r="CQ320" s="9"/>
      <c r="CR320" s="9"/>
      <c r="CS320" s="9"/>
      <c r="CT320" s="145"/>
      <c r="CU320" s="9"/>
      <c r="CV320" s="9"/>
      <c r="CW320" s="9"/>
      <c r="CX320" s="9"/>
      <c r="CY320" s="9"/>
      <c r="CZ320" s="9"/>
    </row>
    <row r="321" spans="2:104">
      <c r="B321" s="14"/>
      <c r="C321" s="1662"/>
      <c r="D321" s="1661"/>
      <c r="E321" s="1673"/>
      <c r="F321" s="1214" t="s">
        <v>209</v>
      </c>
      <c r="G321" s="1213">
        <v>0.34</v>
      </c>
      <c r="H321" s="1213">
        <v>0.75</v>
      </c>
      <c r="I321" s="1213">
        <v>0.75</v>
      </c>
      <c r="J321" s="1213">
        <v>1</v>
      </c>
      <c r="K321" s="1213">
        <v>0.15</v>
      </c>
      <c r="L321" s="1213">
        <f>'3.Hd'!$E$251</f>
        <v>2.8375000000000004</v>
      </c>
      <c r="M321" s="1213">
        <f t="shared" si="39"/>
        <v>1.8089062500000002</v>
      </c>
      <c r="N321" s="145"/>
      <c r="O321" s="145"/>
      <c r="P321" s="145"/>
      <c r="Q321" s="1681"/>
      <c r="R321" s="1683"/>
      <c r="S321" s="1667"/>
      <c r="T321" s="1199" t="s">
        <v>210</v>
      </c>
      <c r="U321" s="1198">
        <v>0.60048387096774192</v>
      </c>
      <c r="V321" s="1198">
        <v>0.75</v>
      </c>
      <c r="W321" s="1198">
        <v>0.75</v>
      </c>
      <c r="X321" s="1198">
        <v>1</v>
      </c>
      <c r="Y321" s="1198">
        <v>0.15</v>
      </c>
      <c r="Z321" s="1198">
        <f>'[2]3.Hd'!$E$403</f>
        <v>1.6960999999999999</v>
      </c>
      <c r="AA321" s="512">
        <f t="shared" si="38"/>
        <v>1.08126375</v>
      </c>
      <c r="AB321" s="41"/>
      <c r="AH321" s="1667"/>
      <c r="AI321" s="1196" t="s">
        <v>208</v>
      </c>
      <c r="AJ321" s="1261">
        <v>0.64</v>
      </c>
      <c r="AK321" s="1261">
        <v>0.75</v>
      </c>
      <c r="AL321" s="1261">
        <v>0.75</v>
      </c>
      <c r="AM321" s="1261">
        <v>1</v>
      </c>
      <c r="AN321" s="1261">
        <v>0.15</v>
      </c>
      <c r="AO321" s="1261">
        <f>'[2]3.Hd'!$E$403</f>
        <v>1.6960999999999999</v>
      </c>
      <c r="AP321" s="512">
        <f t="shared" si="40"/>
        <v>1.08126375</v>
      </c>
      <c r="AR321" s="1659"/>
      <c r="AS321" s="1262" t="s">
        <v>208</v>
      </c>
      <c r="AT321" s="1261">
        <v>0.64</v>
      </c>
      <c r="AU321" s="1261">
        <v>0.75</v>
      </c>
      <c r="AV321" s="1261">
        <v>0.75</v>
      </c>
      <c r="AW321" s="1261">
        <v>1</v>
      </c>
      <c r="AX321" s="1261">
        <v>0.15</v>
      </c>
      <c r="AY321" s="1261">
        <f>'[2]3.Hd'!$E$403</f>
        <v>1.6960999999999999</v>
      </c>
      <c r="AZ321" s="512">
        <f t="shared" si="41"/>
        <v>1.08126375</v>
      </c>
      <c r="CD321" s="9"/>
      <c r="CE321" s="9"/>
      <c r="CF321" s="145"/>
      <c r="CG321" s="9"/>
      <c r="CH321" s="9"/>
      <c r="CI321" s="9"/>
      <c r="CJ321" s="9"/>
      <c r="CK321" s="9"/>
      <c r="CL321" s="9"/>
      <c r="CM321" s="9"/>
      <c r="CN321" s="9"/>
      <c r="CO321" s="9"/>
      <c r="CP321" s="9"/>
      <c r="CQ321" s="9"/>
      <c r="CR321" s="9"/>
      <c r="CS321" s="9"/>
      <c r="CT321" s="145"/>
      <c r="CU321" s="9"/>
      <c r="CV321" s="9"/>
      <c r="CW321" s="9"/>
      <c r="CX321" s="9"/>
      <c r="CY321" s="9"/>
      <c r="CZ321" s="9"/>
    </row>
    <row r="322" spans="2:104">
      <c r="B322" s="14"/>
      <c r="C322" s="1662"/>
      <c r="D322" s="1661"/>
      <c r="E322" s="1673"/>
      <c r="F322" s="1214" t="s">
        <v>210</v>
      </c>
      <c r="G322" s="1213">
        <v>0.36499999999999999</v>
      </c>
      <c r="H322" s="1213">
        <v>0.75</v>
      </c>
      <c r="I322" s="1213">
        <v>0.75</v>
      </c>
      <c r="J322" s="1213">
        <v>1</v>
      </c>
      <c r="K322" s="1213">
        <v>0.15</v>
      </c>
      <c r="L322" s="1213">
        <f>'3.Hd'!$E$251</f>
        <v>2.8375000000000004</v>
      </c>
      <c r="M322" s="1213">
        <f t="shared" si="39"/>
        <v>1.8089062500000002</v>
      </c>
      <c r="N322" s="145"/>
      <c r="O322" s="145"/>
      <c r="P322" s="145"/>
      <c r="Q322" s="1681"/>
      <c r="R322" s="1683"/>
      <c r="S322" s="1667"/>
      <c r="T322" s="1199" t="s">
        <v>211</v>
      </c>
      <c r="U322" s="1198">
        <v>0.75789473684210529</v>
      </c>
      <c r="V322" s="1198">
        <v>0.75</v>
      </c>
      <c r="W322" s="1198">
        <v>0.75</v>
      </c>
      <c r="X322" s="1198">
        <v>1</v>
      </c>
      <c r="Y322" s="1198">
        <v>0.15</v>
      </c>
      <c r="Z322" s="1198">
        <f>'[2]3.Hd'!$E$403</f>
        <v>1.6960999999999999</v>
      </c>
      <c r="AA322" s="512">
        <f t="shared" si="38"/>
        <v>1.08126375</v>
      </c>
      <c r="AB322" s="41"/>
      <c r="AH322" s="1667"/>
      <c r="AI322" s="1196" t="s">
        <v>209</v>
      </c>
      <c r="AJ322" s="1261">
        <v>0.68</v>
      </c>
      <c r="AK322" s="1261">
        <v>0.75</v>
      </c>
      <c r="AL322" s="1261">
        <v>0.75</v>
      </c>
      <c r="AM322" s="1261">
        <v>1</v>
      </c>
      <c r="AN322" s="1261">
        <v>0.15</v>
      </c>
      <c r="AO322" s="1261">
        <f>'[2]3.Hd'!$E$403</f>
        <v>1.6960999999999999</v>
      </c>
      <c r="AP322" s="512">
        <f t="shared" si="40"/>
        <v>1.08126375</v>
      </c>
      <c r="AR322" s="1659"/>
      <c r="AS322" s="1262" t="s">
        <v>209</v>
      </c>
      <c r="AT322" s="1261">
        <v>0.68</v>
      </c>
      <c r="AU322" s="1261">
        <v>0.75</v>
      </c>
      <c r="AV322" s="1261">
        <v>0.75</v>
      </c>
      <c r="AW322" s="1261">
        <v>1</v>
      </c>
      <c r="AX322" s="1261">
        <v>0.15</v>
      </c>
      <c r="AY322" s="1261">
        <f>'[2]3.Hd'!$E$403</f>
        <v>1.6960999999999999</v>
      </c>
      <c r="AZ322" s="512">
        <f t="shared" si="41"/>
        <v>1.08126375</v>
      </c>
      <c r="CD322" s="9"/>
      <c r="CE322" s="9"/>
      <c r="CF322" s="145"/>
      <c r="CG322" s="9"/>
      <c r="CH322" s="9"/>
      <c r="CI322" s="9"/>
      <c r="CJ322" s="9"/>
      <c r="CK322" s="9"/>
      <c r="CL322" s="9"/>
      <c r="CM322" s="9"/>
      <c r="CN322" s="9"/>
      <c r="CO322" s="9"/>
      <c r="CP322" s="9"/>
      <c r="CQ322" s="9"/>
      <c r="CR322" s="9"/>
      <c r="CS322" s="9"/>
      <c r="CT322" s="145"/>
      <c r="CU322" s="9"/>
      <c r="CV322" s="9"/>
      <c r="CW322" s="9"/>
      <c r="CX322" s="9"/>
      <c r="CY322" s="9"/>
      <c r="CZ322" s="9"/>
    </row>
    <row r="323" spans="2:104">
      <c r="B323" s="14"/>
      <c r="C323" s="1662"/>
      <c r="D323" s="1661"/>
      <c r="E323" s="1673"/>
      <c r="F323" s="1214" t="s">
        <v>211</v>
      </c>
      <c r="G323" s="1213">
        <v>0.36</v>
      </c>
      <c r="H323" s="1213">
        <v>0.75</v>
      </c>
      <c r="I323" s="1213">
        <v>0.75</v>
      </c>
      <c r="J323" s="1213">
        <v>1</v>
      </c>
      <c r="K323" s="1213">
        <v>0.15</v>
      </c>
      <c r="L323" s="1213">
        <f>'3.Hd'!$E$251</f>
        <v>2.8375000000000004</v>
      </c>
      <c r="M323" s="1213">
        <f t="shared" si="39"/>
        <v>1.8089062500000002</v>
      </c>
      <c r="N323" s="145"/>
      <c r="O323" s="145"/>
      <c r="P323" s="145"/>
      <c r="Q323" s="1681"/>
      <c r="R323" s="1683"/>
      <c r="S323" s="1667"/>
      <c r="T323" s="1199" t="s">
        <v>212</v>
      </c>
      <c r="U323" s="1198">
        <v>0.79256097560975602</v>
      </c>
      <c r="V323" s="1198">
        <v>0.75</v>
      </c>
      <c r="W323" s="1198">
        <v>0.75</v>
      </c>
      <c r="X323" s="1198">
        <v>1</v>
      </c>
      <c r="Y323" s="1198">
        <v>0.15</v>
      </c>
      <c r="Z323" s="1198">
        <f>'[2]3.Hd'!$E$403</f>
        <v>1.6960999999999999</v>
      </c>
      <c r="AA323" s="512">
        <f t="shared" si="38"/>
        <v>1.08126375</v>
      </c>
      <c r="AB323" s="41"/>
      <c r="AH323" s="1667"/>
      <c r="AI323" s="1196" t="s">
        <v>210</v>
      </c>
      <c r="AJ323" s="1261">
        <v>0.73</v>
      </c>
      <c r="AK323" s="1261">
        <v>0.75</v>
      </c>
      <c r="AL323" s="1261">
        <v>0.75</v>
      </c>
      <c r="AM323" s="1261">
        <v>1</v>
      </c>
      <c r="AN323" s="1261">
        <v>0.15</v>
      </c>
      <c r="AO323" s="1261">
        <f>'[2]3.Hd'!$E$403</f>
        <v>1.6960999999999999</v>
      </c>
      <c r="AP323" s="512">
        <f t="shared" si="40"/>
        <v>1.08126375</v>
      </c>
      <c r="AR323" s="1659"/>
      <c r="AS323" s="1262" t="s">
        <v>210</v>
      </c>
      <c r="AT323" s="1261">
        <v>0.73</v>
      </c>
      <c r="AU323" s="1261">
        <v>0.75</v>
      </c>
      <c r="AV323" s="1261">
        <v>0.75</v>
      </c>
      <c r="AW323" s="1261">
        <v>1</v>
      </c>
      <c r="AX323" s="1261">
        <v>0.15</v>
      </c>
      <c r="AY323" s="1261">
        <f>'[2]3.Hd'!$E$403</f>
        <v>1.6960999999999999</v>
      </c>
      <c r="AZ323" s="512">
        <f t="shared" si="41"/>
        <v>1.08126375</v>
      </c>
      <c r="CD323" s="9"/>
      <c r="CE323" s="9"/>
      <c r="CF323" s="145"/>
      <c r="CG323" s="9"/>
      <c r="CH323" s="9"/>
      <c r="CI323" s="9"/>
      <c r="CJ323" s="9"/>
      <c r="CK323" s="9"/>
      <c r="CL323" s="9"/>
      <c r="CM323" s="9"/>
      <c r="CN323" s="9"/>
      <c r="CO323" s="9"/>
      <c r="CP323" s="9"/>
      <c r="CQ323" s="9"/>
      <c r="CR323" s="9"/>
      <c r="CS323" s="9"/>
      <c r="CT323" s="145"/>
      <c r="CU323" s="9"/>
      <c r="CV323" s="9"/>
      <c r="CW323" s="9"/>
      <c r="CX323" s="9"/>
      <c r="CY323" s="9"/>
      <c r="CZ323" s="9"/>
    </row>
    <row r="324" spans="2:104">
      <c r="B324" s="14"/>
      <c r="C324" s="1662"/>
      <c r="D324" s="1661"/>
      <c r="E324" s="1673"/>
      <c r="F324" s="1214" t="s">
        <v>212</v>
      </c>
      <c r="G324" s="1213">
        <v>0.33500000000000002</v>
      </c>
      <c r="H324" s="1213">
        <v>0.75</v>
      </c>
      <c r="I324" s="1213">
        <v>0.75</v>
      </c>
      <c r="J324" s="1213">
        <v>1</v>
      </c>
      <c r="K324" s="1213">
        <v>0.15</v>
      </c>
      <c r="L324" s="1213">
        <f>'3.Hd'!$E$251</f>
        <v>2.8375000000000004</v>
      </c>
      <c r="M324" s="1213">
        <f t="shared" si="39"/>
        <v>1.8089062500000002</v>
      </c>
      <c r="N324" s="145"/>
      <c r="O324" s="145"/>
      <c r="P324" s="145"/>
      <c r="Q324" s="1681"/>
      <c r="R324" s="1683"/>
      <c r="S324" s="1667"/>
      <c r="T324" s="1199" t="s">
        <v>213</v>
      </c>
      <c r="U324" s="1198">
        <v>0.78139534883720929</v>
      </c>
      <c r="V324" s="1198">
        <v>0.75</v>
      </c>
      <c r="W324" s="1198">
        <v>0.75</v>
      </c>
      <c r="X324" s="1198">
        <v>1</v>
      </c>
      <c r="Y324" s="1198">
        <v>0.15</v>
      </c>
      <c r="Z324" s="1198">
        <f>'[2]3.Hd'!$E$403</f>
        <v>1.6960999999999999</v>
      </c>
      <c r="AA324" s="512">
        <f t="shared" si="38"/>
        <v>1.08126375</v>
      </c>
      <c r="AB324" s="41"/>
      <c r="AH324" s="1667"/>
      <c r="AI324" s="1196" t="s">
        <v>211</v>
      </c>
      <c r="AJ324" s="1261">
        <v>0.72</v>
      </c>
      <c r="AK324" s="1261">
        <v>0.75</v>
      </c>
      <c r="AL324" s="1261">
        <v>0.75</v>
      </c>
      <c r="AM324" s="1261">
        <v>1</v>
      </c>
      <c r="AN324" s="1261">
        <v>0.15</v>
      </c>
      <c r="AO324" s="1261">
        <f>'[2]3.Hd'!$E$403</f>
        <v>1.6960999999999999</v>
      </c>
      <c r="AP324" s="512">
        <f t="shared" si="40"/>
        <v>1.08126375</v>
      </c>
      <c r="AR324" s="1659"/>
      <c r="AS324" s="1262" t="s">
        <v>211</v>
      </c>
      <c r="AT324" s="1261">
        <v>0.72</v>
      </c>
      <c r="AU324" s="1261">
        <v>0.75</v>
      </c>
      <c r="AV324" s="1261">
        <v>0.75</v>
      </c>
      <c r="AW324" s="1261">
        <v>1</v>
      </c>
      <c r="AX324" s="1261">
        <v>0.15</v>
      </c>
      <c r="AY324" s="1261">
        <f>'[2]3.Hd'!$E$403</f>
        <v>1.6960999999999999</v>
      </c>
      <c r="AZ324" s="512">
        <f t="shared" si="41"/>
        <v>1.08126375</v>
      </c>
      <c r="CD324" s="9"/>
      <c r="CE324" s="9"/>
      <c r="CF324" s="380"/>
      <c r="CG324" s="9"/>
      <c r="CH324" s="9"/>
      <c r="CI324" s="9"/>
      <c r="CJ324" s="9"/>
      <c r="CK324" s="9"/>
      <c r="CL324" s="9"/>
      <c r="CM324" s="9"/>
      <c r="CN324" s="9"/>
      <c r="CO324" s="9"/>
      <c r="CP324" s="9"/>
      <c r="CQ324" s="9"/>
      <c r="CR324" s="9"/>
      <c r="CS324" s="9"/>
      <c r="CT324" s="380"/>
      <c r="CU324" s="9"/>
      <c r="CV324" s="9"/>
      <c r="CW324" s="9"/>
      <c r="CX324" s="9"/>
      <c r="CY324" s="9"/>
      <c r="CZ324" s="9"/>
    </row>
    <row r="325" spans="2:104">
      <c r="B325" s="14"/>
      <c r="C325" s="1662"/>
      <c r="D325" s="1661"/>
      <c r="E325" s="1673"/>
      <c r="F325" s="1214" t="s">
        <v>213</v>
      </c>
      <c r="G325" s="1213">
        <v>0.3</v>
      </c>
      <c r="H325" s="1213">
        <v>0.75</v>
      </c>
      <c r="I325" s="1213">
        <v>0.75</v>
      </c>
      <c r="J325" s="1213">
        <v>1</v>
      </c>
      <c r="K325" s="1213">
        <v>0.15</v>
      </c>
      <c r="L325" s="1213">
        <f>'3.Hd'!$E$251</f>
        <v>2.8375000000000004</v>
      </c>
      <c r="M325" s="1213">
        <f t="shared" si="39"/>
        <v>1.8089062500000002</v>
      </c>
      <c r="N325" s="145"/>
      <c r="O325" s="145"/>
      <c r="P325" s="145"/>
      <c r="Q325" s="1681"/>
      <c r="R325" s="1683"/>
      <c r="S325" s="1667"/>
      <c r="T325" s="1199" t="s">
        <v>214</v>
      </c>
      <c r="U325" s="1198">
        <v>0.49285714285714288</v>
      </c>
      <c r="V325" s="1198">
        <v>0.75</v>
      </c>
      <c r="W325" s="1198">
        <v>0.75</v>
      </c>
      <c r="X325" s="1198">
        <v>0.99999999999999989</v>
      </c>
      <c r="Y325" s="1198">
        <v>0.15</v>
      </c>
      <c r="Z325" s="1198">
        <f>'[2]3.Hd'!$E$403</f>
        <v>1.6960999999999999</v>
      </c>
      <c r="AA325" s="512">
        <f t="shared" si="38"/>
        <v>1.0812637499999997</v>
      </c>
      <c r="AB325" s="41"/>
      <c r="AH325" s="1667"/>
      <c r="AI325" s="1196" t="s">
        <v>212</v>
      </c>
      <c r="AJ325" s="1261">
        <v>0.67</v>
      </c>
      <c r="AK325" s="1261">
        <v>0.75</v>
      </c>
      <c r="AL325" s="1261">
        <v>0.75</v>
      </c>
      <c r="AM325" s="1261">
        <v>1</v>
      </c>
      <c r="AN325" s="1261">
        <v>0.15</v>
      </c>
      <c r="AO325" s="1261">
        <f>'[2]3.Hd'!$E$403</f>
        <v>1.6960999999999999</v>
      </c>
      <c r="AP325" s="512">
        <f t="shared" si="40"/>
        <v>1.08126375</v>
      </c>
      <c r="AR325" s="1659"/>
      <c r="AS325" s="1262" t="s">
        <v>212</v>
      </c>
      <c r="AT325" s="1261">
        <v>0.67</v>
      </c>
      <c r="AU325" s="1261">
        <v>0.75</v>
      </c>
      <c r="AV325" s="1261">
        <v>0.75</v>
      </c>
      <c r="AW325" s="1261">
        <v>1</v>
      </c>
      <c r="AX325" s="1261">
        <v>0.15</v>
      </c>
      <c r="AY325" s="1261">
        <f>'[2]3.Hd'!$E$403</f>
        <v>1.6960999999999999</v>
      </c>
      <c r="AZ325" s="512">
        <f t="shared" si="41"/>
        <v>1.08126375</v>
      </c>
      <c r="CD325" s="9"/>
      <c r="CE325" s="9"/>
      <c r="CF325" s="145"/>
      <c r="CG325" s="9"/>
      <c r="CH325" s="9"/>
      <c r="CI325" s="9"/>
      <c r="CJ325" s="9"/>
      <c r="CK325" s="9"/>
      <c r="CL325" s="9"/>
      <c r="CM325" s="9"/>
      <c r="CN325" s="9"/>
      <c r="CO325" s="9"/>
      <c r="CP325" s="9"/>
      <c r="CQ325" s="9"/>
      <c r="CR325" s="9"/>
      <c r="CS325" s="9"/>
      <c r="CT325" s="145"/>
      <c r="CU325" s="9"/>
      <c r="CV325" s="9"/>
      <c r="CW325" s="9"/>
      <c r="CX325" s="9"/>
      <c r="CY325" s="9"/>
      <c r="CZ325" s="9"/>
    </row>
    <row r="326" spans="2:104">
      <c r="B326" s="14"/>
      <c r="C326" s="1662"/>
      <c r="D326" s="1661"/>
      <c r="E326" s="1673"/>
      <c r="F326" s="1214" t="s">
        <v>214</v>
      </c>
      <c r="G326" s="1213">
        <v>0.15</v>
      </c>
      <c r="H326" s="1213">
        <v>0.75</v>
      </c>
      <c r="I326" s="1213">
        <v>0.75</v>
      </c>
      <c r="J326" s="1213">
        <v>0.99999999999999989</v>
      </c>
      <c r="K326" s="1213">
        <v>0.15</v>
      </c>
      <c r="L326" s="1213">
        <f>'3.Hd'!$E$251</f>
        <v>2.8375000000000004</v>
      </c>
      <c r="M326" s="1213">
        <f t="shared" si="39"/>
        <v>1.8089062499999997</v>
      </c>
      <c r="N326" s="145"/>
      <c r="O326" s="145"/>
      <c r="P326" s="145"/>
      <c r="Q326" s="1681"/>
      <c r="R326" s="1683"/>
      <c r="S326" s="1668"/>
      <c r="T326" s="1199" t="s">
        <v>215</v>
      </c>
      <c r="U326" s="1198">
        <v>0.63488372093023249</v>
      </c>
      <c r="V326" s="1198">
        <v>0.75</v>
      </c>
      <c r="W326" s="1198">
        <v>0.75</v>
      </c>
      <c r="X326" s="1198">
        <v>1</v>
      </c>
      <c r="Y326" s="1198">
        <v>0.15</v>
      </c>
      <c r="Z326" s="1198">
        <f>'[2]3.Hd'!$E$403</f>
        <v>1.6960999999999999</v>
      </c>
      <c r="AA326" s="512">
        <f t="shared" si="38"/>
        <v>1.08126375</v>
      </c>
      <c r="AB326" s="41"/>
      <c r="AH326" s="1667"/>
      <c r="AI326" s="1196" t="s">
        <v>213</v>
      </c>
      <c r="AJ326" s="1261">
        <v>0.6</v>
      </c>
      <c r="AK326" s="1261">
        <v>0.75</v>
      </c>
      <c r="AL326" s="1261">
        <v>0.75</v>
      </c>
      <c r="AM326" s="1261">
        <v>1</v>
      </c>
      <c r="AN326" s="1261">
        <v>0.15</v>
      </c>
      <c r="AO326" s="1261">
        <f>'[2]3.Hd'!$E$403</f>
        <v>1.6960999999999999</v>
      </c>
      <c r="AP326" s="512">
        <f t="shared" si="40"/>
        <v>1.08126375</v>
      </c>
      <c r="AR326" s="1659"/>
      <c r="AS326" s="1262" t="s">
        <v>213</v>
      </c>
      <c r="AT326" s="1261">
        <v>0.6</v>
      </c>
      <c r="AU326" s="1261">
        <v>0.75</v>
      </c>
      <c r="AV326" s="1261">
        <v>0.75</v>
      </c>
      <c r="AW326" s="1261">
        <v>1</v>
      </c>
      <c r="AX326" s="1261">
        <v>0.15</v>
      </c>
      <c r="AY326" s="1261">
        <f>'[2]3.Hd'!$E$403</f>
        <v>1.6960999999999999</v>
      </c>
      <c r="AZ326" s="512">
        <f t="shared" si="41"/>
        <v>1.08126375</v>
      </c>
      <c r="CD326" s="9"/>
      <c r="CE326" s="9"/>
      <c r="CF326" s="145"/>
      <c r="CG326" s="9"/>
      <c r="CH326" s="9"/>
      <c r="CI326" s="9"/>
      <c r="CJ326" s="9"/>
      <c r="CK326" s="9"/>
      <c r="CL326" s="9"/>
      <c r="CM326" s="9"/>
      <c r="CN326" s="9"/>
      <c r="CO326" s="9"/>
      <c r="CP326" s="9"/>
      <c r="CQ326" s="9"/>
      <c r="CR326" s="9"/>
      <c r="CS326" s="9"/>
      <c r="CT326" s="145"/>
      <c r="CU326" s="9"/>
      <c r="CV326" s="9"/>
      <c r="CW326" s="9"/>
      <c r="CX326" s="9"/>
      <c r="CY326" s="9"/>
      <c r="CZ326" s="9"/>
    </row>
    <row r="327" spans="2:104" ht="16">
      <c r="B327" s="14"/>
      <c r="C327" s="1662"/>
      <c r="D327" s="1661"/>
      <c r="E327" s="1673"/>
      <c r="F327" s="1214" t="s">
        <v>215</v>
      </c>
      <c r="G327" s="1213">
        <v>0.21</v>
      </c>
      <c r="H327" s="1213">
        <v>0.75</v>
      </c>
      <c r="I327" s="1213">
        <v>0.75</v>
      </c>
      <c r="J327" s="1213">
        <v>1</v>
      </c>
      <c r="K327" s="1213">
        <v>0.15</v>
      </c>
      <c r="L327" s="1213">
        <f>'3.Hd'!$E$251</f>
        <v>2.8375000000000004</v>
      </c>
      <c r="M327" s="1213">
        <f t="shared" si="39"/>
        <v>1.8089062500000002</v>
      </c>
      <c r="N327" s="145"/>
      <c r="O327" s="145"/>
      <c r="P327" s="145"/>
      <c r="Q327" s="1681"/>
      <c r="R327" s="1683"/>
      <c r="S327" s="1684" t="s">
        <v>913</v>
      </c>
      <c r="T327" s="1653" t="s">
        <v>24</v>
      </c>
      <c r="U327" s="89" t="s">
        <v>319</v>
      </c>
      <c r="V327" s="89" t="s">
        <v>320</v>
      </c>
      <c r="W327" s="89" t="s">
        <v>321</v>
      </c>
      <c r="X327" s="89" t="s">
        <v>322</v>
      </c>
      <c r="Y327" s="89" t="s">
        <v>323</v>
      </c>
      <c r="Z327" s="89" t="s">
        <v>324</v>
      </c>
      <c r="AA327" s="518" t="s">
        <v>311</v>
      </c>
      <c r="AB327" s="1207"/>
      <c r="AH327" s="1667"/>
      <c r="AI327" s="1196" t="s">
        <v>214</v>
      </c>
      <c r="AJ327" s="1261">
        <v>0.3</v>
      </c>
      <c r="AK327" s="1261">
        <v>0.75</v>
      </c>
      <c r="AL327" s="1261">
        <v>0.75</v>
      </c>
      <c r="AM327" s="1261">
        <v>0.99999999999999989</v>
      </c>
      <c r="AN327" s="1261">
        <v>0.15</v>
      </c>
      <c r="AO327" s="1261">
        <f>'[2]3.Hd'!$E$403</f>
        <v>1.6960999999999999</v>
      </c>
      <c r="AP327" s="512">
        <f t="shared" si="40"/>
        <v>1.0812637499999997</v>
      </c>
      <c r="AR327" s="1659"/>
      <c r="AS327" s="1262" t="s">
        <v>214</v>
      </c>
      <c r="AT327" s="1261">
        <v>0.3</v>
      </c>
      <c r="AU327" s="1261">
        <v>0.75</v>
      </c>
      <c r="AV327" s="1261">
        <v>0.75</v>
      </c>
      <c r="AW327" s="1261">
        <v>0.99999999999999989</v>
      </c>
      <c r="AX327" s="1261">
        <v>0.15</v>
      </c>
      <c r="AY327" s="1261">
        <f>'[2]3.Hd'!$E$403</f>
        <v>1.6960999999999999</v>
      </c>
      <c r="AZ327" s="512">
        <f t="shared" si="41"/>
        <v>1.0812637499999997</v>
      </c>
      <c r="CD327" s="9"/>
      <c r="CE327" s="9"/>
      <c r="CF327" s="145"/>
      <c r="CG327" s="9"/>
      <c r="CH327" s="9"/>
      <c r="CI327" s="9"/>
      <c r="CJ327" s="9"/>
      <c r="CK327" s="9"/>
      <c r="CL327" s="9"/>
      <c r="CM327" s="9"/>
      <c r="CN327" s="9"/>
      <c r="CO327" s="9"/>
      <c r="CP327" s="9"/>
      <c r="CQ327" s="9"/>
      <c r="CR327" s="9"/>
      <c r="CS327" s="9"/>
      <c r="CT327" s="145"/>
      <c r="CU327" s="9"/>
      <c r="CV327" s="9"/>
      <c r="CW327" s="9"/>
      <c r="CX327" s="9"/>
      <c r="CY327" s="9"/>
      <c r="CZ327" s="9"/>
    </row>
    <row r="328" spans="2:104" ht="15" customHeight="1">
      <c r="B328" s="14"/>
      <c r="C328" s="1662"/>
      <c r="D328" s="1661"/>
      <c r="E328" s="1674" t="s">
        <v>902</v>
      </c>
      <c r="F328" s="1653" t="s">
        <v>24</v>
      </c>
      <c r="G328" s="89" t="s">
        <v>319</v>
      </c>
      <c r="H328" s="89" t="s">
        <v>320</v>
      </c>
      <c r="I328" s="89" t="s">
        <v>321</v>
      </c>
      <c r="J328" s="89" t="s">
        <v>322</v>
      </c>
      <c r="K328" s="89" t="s">
        <v>323</v>
      </c>
      <c r="L328" s="89" t="s">
        <v>324</v>
      </c>
      <c r="M328" s="89" t="s">
        <v>311</v>
      </c>
      <c r="N328" s="1220"/>
      <c r="O328" s="380"/>
      <c r="P328" s="380"/>
      <c r="Q328" s="1681"/>
      <c r="R328" s="1683"/>
      <c r="S328" s="1684"/>
      <c r="T328" s="1654"/>
      <c r="U328" s="115" t="s">
        <v>24</v>
      </c>
      <c r="V328" s="115" t="s">
        <v>24</v>
      </c>
      <c r="W328" s="115" t="s">
        <v>24</v>
      </c>
      <c r="X328" s="115" t="s">
        <v>24</v>
      </c>
      <c r="Y328" s="115" t="s">
        <v>24</v>
      </c>
      <c r="Z328" s="92" t="s">
        <v>32</v>
      </c>
      <c r="AA328" s="519" t="s">
        <v>32</v>
      </c>
      <c r="AB328" s="41"/>
      <c r="AH328" s="1668"/>
      <c r="AI328" s="1196" t="s">
        <v>215</v>
      </c>
      <c r="AJ328" s="1261">
        <v>0.42</v>
      </c>
      <c r="AK328" s="1261">
        <v>0.75</v>
      </c>
      <c r="AL328" s="1261">
        <v>0.75</v>
      </c>
      <c r="AM328" s="1261">
        <v>1</v>
      </c>
      <c r="AN328" s="1261">
        <v>0.15</v>
      </c>
      <c r="AO328" s="1261">
        <f>'[2]3.Hd'!$E$403</f>
        <v>1.6960999999999999</v>
      </c>
      <c r="AP328" s="512">
        <f t="shared" si="40"/>
        <v>1.08126375</v>
      </c>
      <c r="AR328" s="1660"/>
      <c r="AS328" s="1262" t="s">
        <v>215</v>
      </c>
      <c r="AT328" s="1261">
        <v>0.42</v>
      </c>
      <c r="AU328" s="1261">
        <v>0.75</v>
      </c>
      <c r="AV328" s="1261">
        <v>0.75</v>
      </c>
      <c r="AW328" s="1261">
        <v>1</v>
      </c>
      <c r="AX328" s="1261">
        <v>0.15</v>
      </c>
      <c r="AY328" s="1261">
        <f>'[2]3.Hd'!$E$403</f>
        <v>1.6960999999999999</v>
      </c>
      <c r="AZ328" s="512">
        <f t="shared" si="41"/>
        <v>1.08126375</v>
      </c>
      <c r="CD328" s="9"/>
      <c r="CE328" s="9"/>
      <c r="CF328" s="145"/>
      <c r="CG328" s="9"/>
      <c r="CH328" s="9"/>
      <c r="CI328" s="9"/>
      <c r="CJ328" s="9"/>
      <c r="CK328" s="9"/>
      <c r="CL328" s="9"/>
      <c r="CM328" s="9"/>
      <c r="CN328" s="9"/>
      <c r="CO328" s="9"/>
      <c r="CP328" s="9"/>
      <c r="CQ328" s="9"/>
      <c r="CR328" s="9"/>
      <c r="CS328" s="9"/>
      <c r="CT328" s="145"/>
      <c r="CU328" s="9"/>
      <c r="CV328" s="9"/>
      <c r="CW328" s="9"/>
      <c r="CX328" s="9"/>
      <c r="CY328" s="9"/>
      <c r="CZ328" s="9"/>
    </row>
    <row r="329" spans="2:104">
      <c r="B329" s="14"/>
      <c r="C329" s="1662"/>
      <c r="D329" s="1661"/>
      <c r="E329" s="1674"/>
      <c r="F329" s="1654"/>
      <c r="G329" s="115" t="s">
        <v>24</v>
      </c>
      <c r="H329" s="115" t="s">
        <v>24</v>
      </c>
      <c r="I329" s="115" t="s">
        <v>24</v>
      </c>
      <c r="J329" s="115" t="s">
        <v>24</v>
      </c>
      <c r="K329" s="115" t="s">
        <v>24</v>
      </c>
      <c r="L329" s="92" t="s">
        <v>32</v>
      </c>
      <c r="M329" s="92" t="s">
        <v>32</v>
      </c>
      <c r="N329" s="17"/>
      <c r="O329" s="145"/>
      <c r="P329" s="145"/>
      <c r="Q329" s="1681"/>
      <c r="R329" s="1683"/>
      <c r="S329" s="1684"/>
      <c r="T329" s="1199" t="s">
        <v>204</v>
      </c>
      <c r="U329" s="1198">
        <v>0.59222222222222221</v>
      </c>
      <c r="V329" s="1198">
        <v>0.75</v>
      </c>
      <c r="W329" s="1198">
        <v>0.75</v>
      </c>
      <c r="X329" s="1198">
        <v>1</v>
      </c>
      <c r="Y329" s="1198">
        <v>0.15</v>
      </c>
      <c r="Z329" s="1198">
        <f>'[2]3.Hd'!$E$403</f>
        <v>1.6960999999999999</v>
      </c>
      <c r="AA329" s="512">
        <f t="shared" ref="AA329:AA340" si="42">X329*V329*(1-Y329)*Z329</f>
        <v>1.08126375</v>
      </c>
      <c r="AB329" s="41"/>
      <c r="AT329" s="1201"/>
      <c r="AU329" s="1205"/>
      <c r="AV329" s="1206"/>
      <c r="AW329" s="145"/>
      <c r="AX329" s="145"/>
      <c r="AY329" s="145"/>
      <c r="AZ329" s="145"/>
      <c r="CD329" s="9"/>
      <c r="CE329" s="9"/>
      <c r="CF329" s="145"/>
      <c r="CG329" s="9"/>
      <c r="CH329" s="9"/>
      <c r="CI329" s="9"/>
      <c r="CJ329" s="9"/>
      <c r="CK329" s="9"/>
      <c r="CL329" s="9"/>
      <c r="CM329" s="9"/>
      <c r="CN329" s="9"/>
      <c r="CO329" s="9"/>
      <c r="CP329" s="9"/>
      <c r="CQ329" s="9"/>
      <c r="CR329" s="9"/>
      <c r="CS329" s="9"/>
      <c r="CT329" s="145"/>
      <c r="CU329" s="9"/>
      <c r="CV329" s="9"/>
      <c r="CW329" s="9"/>
      <c r="CX329" s="9"/>
      <c r="CY329" s="9"/>
      <c r="CZ329" s="9"/>
    </row>
    <row r="330" spans="2:104" ht="15" customHeight="1">
      <c r="B330" s="14"/>
      <c r="C330" s="1662"/>
      <c r="D330" s="1661"/>
      <c r="E330" s="1674"/>
      <c r="F330" s="1214" t="s">
        <v>204</v>
      </c>
      <c r="G330" s="1213">
        <v>0.19500000000000001</v>
      </c>
      <c r="H330" s="1213">
        <v>0.75</v>
      </c>
      <c r="I330" s="1213">
        <v>0.75</v>
      </c>
      <c r="J330" s="1213">
        <v>1</v>
      </c>
      <c r="K330" s="1213">
        <v>0.15</v>
      </c>
      <c r="L330" s="1213">
        <f>'3.Hd'!$E$252</f>
        <v>9.3050000000000015</v>
      </c>
      <c r="M330" s="1213">
        <f t="shared" ref="M330:M341" si="43">J330*H330*(1-K330)*L330</f>
        <v>5.931937500000001</v>
      </c>
      <c r="N330" s="145"/>
      <c r="O330" s="145"/>
      <c r="P330" s="145"/>
      <c r="Q330" s="1681"/>
      <c r="R330" s="1683"/>
      <c r="S330" s="1684"/>
      <c r="T330" s="1199" t="s">
        <v>205</v>
      </c>
      <c r="U330" s="1198">
        <v>0.73109756097560974</v>
      </c>
      <c r="V330" s="1198">
        <v>0.75</v>
      </c>
      <c r="W330" s="1198">
        <v>0.75</v>
      </c>
      <c r="X330" s="1198">
        <v>1</v>
      </c>
      <c r="Y330" s="1198">
        <v>0.15</v>
      </c>
      <c r="Z330" s="1198">
        <f>'[2]3.Hd'!$E$403</f>
        <v>1.6960999999999999</v>
      </c>
      <c r="AA330" s="512">
        <f t="shared" si="42"/>
        <v>1.08126375</v>
      </c>
      <c r="AB330" s="41"/>
      <c r="AT330" s="1201"/>
      <c r="AU330" s="1205"/>
      <c r="AV330" s="1206"/>
      <c r="AW330" s="145"/>
      <c r="AX330" s="145"/>
      <c r="AY330" s="145"/>
      <c r="AZ330" s="145"/>
      <c r="CD330" s="9"/>
      <c r="CE330" s="9"/>
      <c r="CF330" s="145"/>
      <c r="CG330" s="9"/>
      <c r="CH330" s="9"/>
      <c r="CI330" s="9"/>
      <c r="CJ330" s="9"/>
      <c r="CK330" s="9"/>
      <c r="CL330" s="9"/>
      <c r="CM330" s="9"/>
      <c r="CN330" s="9"/>
      <c r="CO330" s="9"/>
      <c r="CP330" s="9"/>
      <c r="CQ330" s="9"/>
      <c r="CR330" s="9"/>
      <c r="CS330" s="9"/>
      <c r="CT330" s="145"/>
      <c r="CU330" s="9"/>
      <c r="CV330" s="9"/>
      <c r="CW330" s="9"/>
      <c r="CX330" s="9"/>
      <c r="CY330" s="9"/>
      <c r="CZ330" s="9"/>
    </row>
    <row r="331" spans="2:104" ht="16">
      <c r="B331" s="14"/>
      <c r="C331" s="1662"/>
      <c r="D331" s="1661"/>
      <c r="E331" s="1674"/>
      <c r="F331" s="1214" t="s">
        <v>205</v>
      </c>
      <c r="G331" s="1213">
        <v>0.27500000000000002</v>
      </c>
      <c r="H331" s="1213">
        <v>0.75</v>
      </c>
      <c r="I331" s="1213">
        <v>0.75</v>
      </c>
      <c r="J331" s="1213">
        <v>1</v>
      </c>
      <c r="K331" s="1213">
        <v>0.15</v>
      </c>
      <c r="L331" s="1213">
        <f>'3.Hd'!$E$252</f>
        <v>9.3050000000000015</v>
      </c>
      <c r="M331" s="1213">
        <f t="shared" si="43"/>
        <v>5.931937500000001</v>
      </c>
      <c r="N331" s="145"/>
      <c r="O331" s="145"/>
      <c r="P331" s="145"/>
      <c r="Q331" s="1681"/>
      <c r="R331" s="1683"/>
      <c r="S331" s="1684"/>
      <c r="T331" s="1199" t="s">
        <v>206</v>
      </c>
      <c r="U331" s="1198">
        <v>0.77</v>
      </c>
      <c r="V331" s="1198">
        <v>0.75</v>
      </c>
      <c r="W331" s="1198">
        <v>0.75</v>
      </c>
      <c r="X331" s="1198">
        <v>1</v>
      </c>
      <c r="Y331" s="1198">
        <v>0.15</v>
      </c>
      <c r="Z331" s="1198">
        <f>'[2]3.Hd'!$E$403</f>
        <v>1.6960999999999999</v>
      </c>
      <c r="AA331" s="512">
        <f t="shared" si="42"/>
        <v>1.08126375</v>
      </c>
      <c r="AB331" s="41"/>
      <c r="AH331" s="1663" t="s">
        <v>890</v>
      </c>
      <c r="AI331" s="1653" t="s">
        <v>24</v>
      </c>
      <c r="AJ331" s="89" t="s">
        <v>319</v>
      </c>
      <c r="AK331" s="89" t="s">
        <v>320</v>
      </c>
      <c r="AL331" s="89" t="s">
        <v>321</v>
      </c>
      <c r="AM331" s="89" t="s">
        <v>322</v>
      </c>
      <c r="AN331" s="89" t="s">
        <v>323</v>
      </c>
      <c r="AO331" s="89" t="s">
        <v>324</v>
      </c>
      <c r="AP331" s="518" t="s">
        <v>311</v>
      </c>
      <c r="AR331" s="1655" t="s">
        <v>893</v>
      </c>
      <c r="AS331" s="1653" t="s">
        <v>24</v>
      </c>
      <c r="AT331" s="89" t="s">
        <v>319</v>
      </c>
      <c r="AU331" s="89" t="s">
        <v>320</v>
      </c>
      <c r="AV331" s="89" t="s">
        <v>321</v>
      </c>
      <c r="AW331" s="89" t="s">
        <v>322</v>
      </c>
      <c r="AX331" s="89" t="s">
        <v>323</v>
      </c>
      <c r="AY331" s="89" t="s">
        <v>324</v>
      </c>
      <c r="AZ331" s="518" t="s">
        <v>311</v>
      </c>
      <c r="CD331" s="9"/>
      <c r="CE331" s="9"/>
      <c r="CF331" s="145"/>
      <c r="CG331" s="9"/>
      <c r="CH331" s="9"/>
      <c r="CI331" s="9"/>
      <c r="CJ331" s="9"/>
      <c r="CK331" s="9"/>
      <c r="CL331" s="9"/>
      <c r="CM331" s="9"/>
      <c r="CN331" s="9"/>
      <c r="CO331" s="9"/>
      <c r="CP331" s="9"/>
      <c r="CQ331" s="9"/>
      <c r="CR331" s="9"/>
      <c r="CS331" s="9"/>
      <c r="CT331" s="145"/>
      <c r="CU331" s="9"/>
      <c r="CV331" s="9"/>
      <c r="CW331" s="9"/>
      <c r="CX331" s="9"/>
      <c r="CY331" s="9"/>
      <c r="CZ331" s="9"/>
    </row>
    <row r="332" spans="2:104">
      <c r="B332" s="14"/>
      <c r="C332" s="1662"/>
      <c r="D332" s="1661"/>
      <c r="E332" s="1674"/>
      <c r="F332" s="1214" t="s">
        <v>206</v>
      </c>
      <c r="G332" s="1213">
        <v>0.315</v>
      </c>
      <c r="H332" s="1213">
        <v>0.75</v>
      </c>
      <c r="I332" s="1213">
        <v>0.75</v>
      </c>
      <c r="J332" s="1213">
        <v>1</v>
      </c>
      <c r="K332" s="1213">
        <v>0.15</v>
      </c>
      <c r="L332" s="1213">
        <f>'3.Hd'!$E$252</f>
        <v>9.3050000000000015</v>
      </c>
      <c r="M332" s="1213">
        <f t="shared" si="43"/>
        <v>5.931937500000001</v>
      </c>
      <c r="N332" s="145"/>
      <c r="O332" s="145"/>
      <c r="P332" s="145"/>
      <c r="Q332" s="1681"/>
      <c r="R332" s="1683"/>
      <c r="S332" s="1684"/>
      <c r="T332" s="1199" t="s">
        <v>207</v>
      </c>
      <c r="U332" s="1198">
        <v>0.72054054054054051</v>
      </c>
      <c r="V332" s="1198">
        <v>0.75</v>
      </c>
      <c r="W332" s="1198">
        <v>0.75</v>
      </c>
      <c r="X332" s="1198">
        <v>1</v>
      </c>
      <c r="Y332" s="1198">
        <v>0.15</v>
      </c>
      <c r="Z332" s="1198">
        <f>'[2]3.Hd'!$E$403</f>
        <v>1.6960999999999999</v>
      </c>
      <c r="AA332" s="512">
        <f t="shared" si="42"/>
        <v>1.08126375</v>
      </c>
      <c r="AB332" s="41"/>
      <c r="AH332" s="1664"/>
      <c r="AI332" s="1654"/>
      <c r="AJ332" s="115" t="s">
        <v>24</v>
      </c>
      <c r="AK332" s="115" t="s">
        <v>24</v>
      </c>
      <c r="AL332" s="115" t="s">
        <v>24</v>
      </c>
      <c r="AM332" s="115" t="s">
        <v>24</v>
      </c>
      <c r="AN332" s="115" t="s">
        <v>24</v>
      </c>
      <c r="AO332" s="92" t="s">
        <v>32</v>
      </c>
      <c r="AP332" s="519" t="s">
        <v>32</v>
      </c>
      <c r="AR332" s="1656"/>
      <c r="AS332" s="1654"/>
      <c r="AT332" s="115" t="s">
        <v>24</v>
      </c>
      <c r="AU332" s="115" t="s">
        <v>24</v>
      </c>
      <c r="AV332" s="115" t="s">
        <v>24</v>
      </c>
      <c r="AW332" s="115" t="s">
        <v>24</v>
      </c>
      <c r="AX332" s="115" t="s">
        <v>24</v>
      </c>
      <c r="AY332" s="92" t="s">
        <v>32</v>
      </c>
      <c r="AZ332" s="519" t="s">
        <v>32</v>
      </c>
      <c r="CD332" s="9"/>
      <c r="CE332" s="9"/>
      <c r="CF332" s="145"/>
      <c r="CG332" s="9"/>
      <c r="CH332" s="9"/>
      <c r="CI332" s="9"/>
      <c r="CJ332" s="9"/>
      <c r="CK332" s="9"/>
      <c r="CL332" s="9"/>
      <c r="CM332" s="9"/>
      <c r="CN332" s="9"/>
      <c r="CO332" s="9"/>
      <c r="CP332" s="9"/>
      <c r="CQ332" s="9"/>
      <c r="CR332" s="9"/>
      <c r="CS332" s="9"/>
      <c r="CT332" s="145"/>
      <c r="CU332" s="9"/>
      <c r="CV332" s="9"/>
      <c r="CW332" s="9"/>
      <c r="CX332" s="9"/>
      <c r="CY332" s="9"/>
      <c r="CZ332" s="9"/>
    </row>
    <row r="333" spans="2:104">
      <c r="B333" s="14"/>
      <c r="C333" s="1662"/>
      <c r="D333" s="1661"/>
      <c r="E333" s="1674"/>
      <c r="F333" s="1214" t="s">
        <v>207</v>
      </c>
      <c r="G333" s="1213">
        <v>0.31</v>
      </c>
      <c r="H333" s="1213">
        <v>0.75</v>
      </c>
      <c r="I333" s="1213">
        <v>0.75</v>
      </c>
      <c r="J333" s="1213">
        <v>1</v>
      </c>
      <c r="K333" s="1213">
        <v>0.15</v>
      </c>
      <c r="L333" s="1213">
        <f>'3.Hd'!$E$252</f>
        <v>9.3050000000000015</v>
      </c>
      <c r="M333" s="1213">
        <f t="shared" si="43"/>
        <v>5.931937500000001</v>
      </c>
      <c r="N333" s="145"/>
      <c r="O333" s="145"/>
      <c r="P333" s="145"/>
      <c r="Q333" s="1681"/>
      <c r="R333" s="1683"/>
      <c r="S333" s="1684"/>
      <c r="T333" s="1199" t="s">
        <v>208</v>
      </c>
      <c r="U333" s="1198">
        <v>0.61935483870967745</v>
      </c>
      <c r="V333" s="1198">
        <v>0.75</v>
      </c>
      <c r="W333" s="1198">
        <v>0.75</v>
      </c>
      <c r="X333" s="1198">
        <v>1</v>
      </c>
      <c r="Y333" s="1198">
        <v>0.15</v>
      </c>
      <c r="Z333" s="1198">
        <f>'[2]3.Hd'!$E$403</f>
        <v>1.6960999999999999</v>
      </c>
      <c r="AA333" s="512">
        <f t="shared" si="42"/>
        <v>1.08126375</v>
      </c>
      <c r="AB333" s="41"/>
      <c r="AH333" s="1664"/>
      <c r="AI333" s="1196" t="s">
        <v>204</v>
      </c>
      <c r="AJ333" s="1261">
        <v>0.81</v>
      </c>
      <c r="AK333" s="1261">
        <v>0.75</v>
      </c>
      <c r="AL333" s="1261">
        <v>0.75</v>
      </c>
      <c r="AM333" s="1261">
        <v>1</v>
      </c>
      <c r="AN333" s="1261">
        <v>0.1</v>
      </c>
      <c r="AO333" s="1261">
        <f>'[2]3.Hd'!$E$404</f>
        <v>2.2075</v>
      </c>
      <c r="AP333" s="512">
        <f t="shared" ref="AP333:AP344" si="44">AM333*AK333*(1-AN333)*AO333</f>
        <v>1.4900625000000001</v>
      </c>
      <c r="AR333" s="1656"/>
      <c r="AS333" s="1262" t="s">
        <v>204</v>
      </c>
      <c r="AT333" s="1261">
        <v>0</v>
      </c>
      <c r="AU333" s="1261">
        <v>0.75</v>
      </c>
      <c r="AV333" s="1261">
        <v>0.75</v>
      </c>
      <c r="AW333" s="1261">
        <v>1</v>
      </c>
      <c r="AX333" s="1261">
        <v>0.15</v>
      </c>
      <c r="AY333" s="1261">
        <f>'[2]3.Hd'!$E$403</f>
        <v>1.6960999999999999</v>
      </c>
      <c r="AZ333" s="512">
        <f t="shared" ref="AZ333:AZ344" si="45">AW333*AU333*(1-AX333)*AY333</f>
        <v>1.08126375</v>
      </c>
      <c r="CD333" s="9"/>
      <c r="CE333" s="9"/>
      <c r="CF333" s="145"/>
      <c r="CG333" s="9"/>
      <c r="CH333" s="9"/>
      <c r="CI333" s="9"/>
      <c r="CJ333" s="9"/>
      <c r="CK333" s="9"/>
      <c r="CL333" s="9"/>
      <c r="CM333" s="9"/>
      <c r="CN333" s="9"/>
      <c r="CO333" s="9"/>
      <c r="CP333" s="9"/>
      <c r="CQ333" s="9"/>
      <c r="CR333" s="9"/>
      <c r="CS333" s="9"/>
      <c r="CT333" s="145"/>
      <c r="CU333" s="9"/>
      <c r="CV333" s="9"/>
      <c r="CW333" s="9"/>
      <c r="CX333" s="9"/>
      <c r="CY333" s="9"/>
      <c r="CZ333" s="9"/>
    </row>
    <row r="334" spans="2:104">
      <c r="B334" s="14"/>
      <c r="C334" s="1662"/>
      <c r="D334" s="1661"/>
      <c r="E334" s="1674"/>
      <c r="F334" s="1214" t="s">
        <v>208</v>
      </c>
      <c r="G334" s="1213">
        <v>0.32</v>
      </c>
      <c r="H334" s="1213">
        <v>0.75</v>
      </c>
      <c r="I334" s="1213">
        <v>0.75</v>
      </c>
      <c r="J334" s="1213">
        <v>1</v>
      </c>
      <c r="K334" s="1213">
        <v>0.15</v>
      </c>
      <c r="L334" s="1213">
        <f>'3.Hd'!$E$252</f>
        <v>9.3050000000000015</v>
      </c>
      <c r="M334" s="1213">
        <f t="shared" si="43"/>
        <v>5.931937500000001</v>
      </c>
      <c r="N334" s="145"/>
      <c r="O334" s="145"/>
      <c r="P334" s="145"/>
      <c r="Q334" s="1681"/>
      <c r="R334" s="1683"/>
      <c r="S334" s="1684"/>
      <c r="T334" s="1199" t="s">
        <v>209</v>
      </c>
      <c r="U334" s="1198">
        <v>0.53428571428571436</v>
      </c>
      <c r="V334" s="1198">
        <v>0.75</v>
      </c>
      <c r="W334" s="1198">
        <v>0.75</v>
      </c>
      <c r="X334" s="1198">
        <v>1</v>
      </c>
      <c r="Y334" s="1198">
        <v>0.15</v>
      </c>
      <c r="Z334" s="1198">
        <f>'[2]3.Hd'!$E$403</f>
        <v>1.6960999999999999</v>
      </c>
      <c r="AA334" s="512">
        <f t="shared" si="42"/>
        <v>1.08126375</v>
      </c>
      <c r="AB334" s="41"/>
      <c r="AH334" s="1664"/>
      <c r="AI334" s="1196" t="s">
        <v>205</v>
      </c>
      <c r="AJ334" s="1261">
        <v>0.82</v>
      </c>
      <c r="AK334" s="1261">
        <v>0.75</v>
      </c>
      <c r="AL334" s="1261">
        <v>0.75</v>
      </c>
      <c r="AM334" s="1261">
        <v>1</v>
      </c>
      <c r="AN334" s="1261">
        <v>0.1</v>
      </c>
      <c r="AO334" s="1261">
        <f>'[2]3.Hd'!$E$404</f>
        <v>2.2075</v>
      </c>
      <c r="AP334" s="512">
        <f t="shared" si="44"/>
        <v>1.4900625000000001</v>
      </c>
      <c r="AR334" s="1656"/>
      <c r="AS334" s="1262" t="s">
        <v>205</v>
      </c>
      <c r="AT334" s="1261">
        <v>0</v>
      </c>
      <c r="AU334" s="1261">
        <v>0.75</v>
      </c>
      <c r="AV334" s="1261">
        <v>0.75</v>
      </c>
      <c r="AW334" s="1261">
        <v>1</v>
      </c>
      <c r="AX334" s="1261">
        <v>0.15</v>
      </c>
      <c r="AY334" s="1261">
        <f>'[2]3.Hd'!$E$403</f>
        <v>1.6960999999999999</v>
      </c>
      <c r="AZ334" s="512">
        <f t="shared" si="45"/>
        <v>1.08126375</v>
      </c>
      <c r="CD334" s="9"/>
      <c r="CE334" s="9"/>
      <c r="CF334" s="145"/>
      <c r="CG334" s="9"/>
      <c r="CH334" s="9"/>
      <c r="CI334" s="9"/>
      <c r="CJ334" s="9"/>
      <c r="CK334" s="9"/>
      <c r="CL334" s="9"/>
      <c r="CM334" s="9"/>
      <c r="CN334" s="9"/>
      <c r="CO334" s="9"/>
      <c r="CP334" s="9"/>
      <c r="CQ334" s="9"/>
      <c r="CR334" s="9"/>
      <c r="CS334" s="9"/>
      <c r="CT334" s="145"/>
      <c r="CU334" s="9"/>
      <c r="CV334" s="9"/>
      <c r="CW334" s="9"/>
      <c r="CX334" s="9"/>
      <c r="CY334" s="9"/>
      <c r="CZ334" s="9"/>
    </row>
    <row r="335" spans="2:104">
      <c r="B335" s="14"/>
      <c r="C335" s="1662"/>
      <c r="D335" s="1661"/>
      <c r="E335" s="1674"/>
      <c r="F335" s="1214" t="s">
        <v>209</v>
      </c>
      <c r="G335" s="1213">
        <v>0.34</v>
      </c>
      <c r="H335" s="1213">
        <v>0.75</v>
      </c>
      <c r="I335" s="1213">
        <v>0.75</v>
      </c>
      <c r="J335" s="1213">
        <v>1</v>
      </c>
      <c r="K335" s="1213">
        <v>0.15</v>
      </c>
      <c r="L335" s="1213">
        <f>'3.Hd'!$E$252</f>
        <v>9.3050000000000015</v>
      </c>
      <c r="M335" s="1213">
        <f t="shared" si="43"/>
        <v>5.931937500000001</v>
      </c>
      <c r="N335" s="145"/>
      <c r="O335" s="145"/>
      <c r="P335" s="145"/>
      <c r="Q335" s="1681"/>
      <c r="R335" s="1683"/>
      <c r="S335" s="1684"/>
      <c r="T335" s="1199" t="s">
        <v>210</v>
      </c>
      <c r="U335" s="1198">
        <v>0.60048387096774192</v>
      </c>
      <c r="V335" s="1198">
        <v>0.75</v>
      </c>
      <c r="W335" s="1198">
        <v>0.75</v>
      </c>
      <c r="X335" s="1198">
        <v>1</v>
      </c>
      <c r="Y335" s="1198">
        <v>0.15</v>
      </c>
      <c r="Z335" s="1198">
        <f>'[2]3.Hd'!$E$403</f>
        <v>1.6960999999999999</v>
      </c>
      <c r="AA335" s="512">
        <f t="shared" si="42"/>
        <v>1.08126375</v>
      </c>
      <c r="AB335" s="41"/>
      <c r="AH335" s="1664"/>
      <c r="AI335" s="1196" t="s">
        <v>206</v>
      </c>
      <c r="AJ335" s="1261">
        <v>0.81</v>
      </c>
      <c r="AK335" s="1261">
        <v>0.75</v>
      </c>
      <c r="AL335" s="1261">
        <v>0.75</v>
      </c>
      <c r="AM335" s="1261">
        <v>1</v>
      </c>
      <c r="AN335" s="1261">
        <v>0.1</v>
      </c>
      <c r="AO335" s="1261">
        <f>'[2]3.Hd'!$E$404</f>
        <v>2.2075</v>
      </c>
      <c r="AP335" s="512">
        <f t="shared" si="44"/>
        <v>1.4900625000000001</v>
      </c>
      <c r="AR335" s="1656"/>
      <c r="AS335" s="1262" t="s">
        <v>206</v>
      </c>
      <c r="AT335" s="1261">
        <v>0</v>
      </c>
      <c r="AU335" s="1261">
        <v>0.75</v>
      </c>
      <c r="AV335" s="1261">
        <v>0.75</v>
      </c>
      <c r="AW335" s="1261">
        <v>1</v>
      </c>
      <c r="AX335" s="1261">
        <v>0.15</v>
      </c>
      <c r="AY335" s="1261">
        <f>'[2]3.Hd'!$E$403</f>
        <v>1.6960999999999999</v>
      </c>
      <c r="AZ335" s="512">
        <f t="shared" si="45"/>
        <v>1.08126375</v>
      </c>
      <c r="CD335" s="9"/>
      <c r="CE335" s="9"/>
      <c r="CF335" s="145"/>
      <c r="CG335" s="9"/>
      <c r="CH335" s="9"/>
      <c r="CI335" s="9"/>
      <c r="CJ335" s="9"/>
      <c r="CK335" s="9"/>
      <c r="CL335" s="9"/>
      <c r="CM335" s="9"/>
      <c r="CN335" s="9"/>
      <c r="CO335" s="9"/>
      <c r="CP335" s="9"/>
      <c r="CQ335" s="9"/>
      <c r="CR335" s="9"/>
      <c r="CS335" s="9"/>
      <c r="CT335" s="145"/>
      <c r="CU335" s="9"/>
      <c r="CV335" s="9"/>
      <c r="CW335" s="9"/>
      <c r="CX335" s="9"/>
      <c r="CY335" s="9"/>
      <c r="CZ335" s="9"/>
    </row>
    <row r="336" spans="2:104">
      <c r="B336" s="14"/>
      <c r="C336" s="1662"/>
      <c r="D336" s="1661"/>
      <c r="E336" s="1674"/>
      <c r="F336" s="1214" t="s">
        <v>210</v>
      </c>
      <c r="G336" s="1213">
        <v>0.36499999999999999</v>
      </c>
      <c r="H336" s="1213">
        <v>0.75</v>
      </c>
      <c r="I336" s="1213">
        <v>0.75</v>
      </c>
      <c r="J336" s="1213">
        <v>1</v>
      </c>
      <c r="K336" s="1213">
        <v>0.15</v>
      </c>
      <c r="L336" s="1213">
        <f>'3.Hd'!$E$252</f>
        <v>9.3050000000000015</v>
      </c>
      <c r="M336" s="1213">
        <f t="shared" si="43"/>
        <v>5.931937500000001</v>
      </c>
      <c r="N336" s="145"/>
      <c r="O336" s="145"/>
      <c r="P336" s="145"/>
      <c r="Q336" s="1681"/>
      <c r="R336" s="1683"/>
      <c r="S336" s="1684"/>
      <c r="T336" s="1199" t="s">
        <v>211</v>
      </c>
      <c r="U336" s="1198">
        <v>0.75789473684210529</v>
      </c>
      <c r="V336" s="1198">
        <v>0.75</v>
      </c>
      <c r="W336" s="1198">
        <v>0.75</v>
      </c>
      <c r="X336" s="1198">
        <v>1</v>
      </c>
      <c r="Y336" s="1198">
        <v>0.15</v>
      </c>
      <c r="Z336" s="1198">
        <f>'[2]3.Hd'!$E$403</f>
        <v>1.6960999999999999</v>
      </c>
      <c r="AA336" s="512">
        <f t="shared" si="42"/>
        <v>1.08126375</v>
      </c>
      <c r="AB336" s="41"/>
      <c r="AH336" s="1664"/>
      <c r="AI336" s="1196" t="s">
        <v>207</v>
      </c>
      <c r="AJ336" s="1261">
        <v>0.74</v>
      </c>
      <c r="AK336" s="1261">
        <v>0.75</v>
      </c>
      <c r="AL336" s="1261">
        <v>0.75</v>
      </c>
      <c r="AM336" s="1261">
        <v>1</v>
      </c>
      <c r="AN336" s="1261">
        <v>0.1</v>
      </c>
      <c r="AO336" s="1261">
        <f>'[2]3.Hd'!$E$404</f>
        <v>2.2075</v>
      </c>
      <c r="AP336" s="512">
        <f t="shared" si="44"/>
        <v>1.4900625000000001</v>
      </c>
      <c r="AR336" s="1656"/>
      <c r="AS336" s="1262" t="s">
        <v>207</v>
      </c>
      <c r="AT336" s="1261">
        <v>0</v>
      </c>
      <c r="AU336" s="1261">
        <v>0.75</v>
      </c>
      <c r="AV336" s="1261">
        <v>0.75</v>
      </c>
      <c r="AW336" s="1261">
        <v>1</v>
      </c>
      <c r="AX336" s="1261">
        <v>0.15</v>
      </c>
      <c r="AY336" s="1261">
        <f>'[2]3.Hd'!$E$403</f>
        <v>1.6960999999999999</v>
      </c>
      <c r="AZ336" s="512">
        <f t="shared" si="45"/>
        <v>1.08126375</v>
      </c>
      <c r="CD336" s="9"/>
      <c r="CE336" s="9"/>
      <c r="CF336" s="145"/>
      <c r="CG336" s="9"/>
      <c r="CH336" s="9"/>
      <c r="CI336" s="9"/>
      <c r="CJ336" s="9"/>
      <c r="CK336" s="9"/>
      <c r="CL336" s="9"/>
      <c r="CM336" s="9"/>
      <c r="CN336" s="9"/>
      <c r="CO336" s="9"/>
      <c r="CP336" s="9"/>
      <c r="CQ336" s="9"/>
      <c r="CR336" s="9"/>
      <c r="CS336" s="9"/>
      <c r="CT336" s="145"/>
      <c r="CU336" s="9"/>
      <c r="CV336" s="9"/>
      <c r="CW336" s="9"/>
      <c r="CX336" s="9"/>
      <c r="CY336" s="9"/>
      <c r="CZ336" s="9"/>
    </row>
    <row r="337" spans="2:104">
      <c r="B337" s="14"/>
      <c r="C337" s="1662"/>
      <c r="D337" s="1661"/>
      <c r="E337" s="1674"/>
      <c r="F337" s="1214" t="s">
        <v>211</v>
      </c>
      <c r="G337" s="1213">
        <v>0.36</v>
      </c>
      <c r="H337" s="1213">
        <v>0.75</v>
      </c>
      <c r="I337" s="1213">
        <v>0.75</v>
      </c>
      <c r="J337" s="1213">
        <v>1</v>
      </c>
      <c r="K337" s="1213">
        <v>0.15</v>
      </c>
      <c r="L337" s="1213">
        <f>'3.Hd'!$E$252</f>
        <v>9.3050000000000015</v>
      </c>
      <c r="M337" s="1213">
        <f t="shared" si="43"/>
        <v>5.931937500000001</v>
      </c>
      <c r="N337" s="145"/>
      <c r="O337" s="145"/>
      <c r="P337" s="145"/>
      <c r="Q337" s="1681"/>
      <c r="R337" s="1683"/>
      <c r="S337" s="1684"/>
      <c r="T337" s="1199" t="s">
        <v>212</v>
      </c>
      <c r="U337" s="1198">
        <v>0.79256097560975602</v>
      </c>
      <c r="V337" s="1198">
        <v>0.75</v>
      </c>
      <c r="W337" s="1198">
        <v>0.75</v>
      </c>
      <c r="X337" s="1198">
        <v>1</v>
      </c>
      <c r="Y337" s="1198">
        <v>0.15</v>
      </c>
      <c r="Z337" s="1198">
        <f>'[2]3.Hd'!$E$403</f>
        <v>1.6960999999999999</v>
      </c>
      <c r="AA337" s="512">
        <f t="shared" si="42"/>
        <v>1.08126375</v>
      </c>
      <c r="AB337" s="41"/>
      <c r="AH337" s="1664"/>
      <c r="AI337" s="1196" t="s">
        <v>208</v>
      </c>
      <c r="AJ337" s="1261">
        <v>0.62</v>
      </c>
      <c r="AK337" s="1261">
        <v>0.75</v>
      </c>
      <c r="AL337" s="1261">
        <v>0.75</v>
      </c>
      <c r="AM337" s="1261">
        <v>1</v>
      </c>
      <c r="AN337" s="1261">
        <v>0.1</v>
      </c>
      <c r="AO337" s="1261">
        <f>'[2]3.Hd'!$E$404</f>
        <v>2.2075</v>
      </c>
      <c r="AP337" s="512">
        <f t="shared" si="44"/>
        <v>1.4900625000000001</v>
      </c>
      <c r="AR337" s="1656"/>
      <c r="AS337" s="1262" t="s">
        <v>208</v>
      </c>
      <c r="AT337" s="1261">
        <v>0</v>
      </c>
      <c r="AU337" s="1261">
        <v>0.75</v>
      </c>
      <c r="AV337" s="1261">
        <v>0.75</v>
      </c>
      <c r="AW337" s="1261">
        <v>1</v>
      </c>
      <c r="AX337" s="1261">
        <v>0.15</v>
      </c>
      <c r="AY337" s="1261">
        <f>'[2]3.Hd'!$E$403</f>
        <v>1.6960999999999999</v>
      </c>
      <c r="AZ337" s="512">
        <f t="shared" si="45"/>
        <v>1.08126375</v>
      </c>
      <c r="CD337" s="9"/>
      <c r="CE337" s="9"/>
      <c r="CF337" s="145"/>
      <c r="CG337" s="9"/>
      <c r="CH337" s="9"/>
      <c r="CI337" s="9"/>
      <c r="CJ337" s="9"/>
      <c r="CK337" s="9"/>
      <c r="CL337" s="9"/>
      <c r="CM337" s="9"/>
      <c r="CN337" s="9"/>
      <c r="CO337" s="9"/>
      <c r="CP337" s="9"/>
      <c r="CQ337" s="9"/>
      <c r="CR337" s="9"/>
      <c r="CS337" s="9"/>
      <c r="CT337" s="145"/>
      <c r="CU337" s="9"/>
      <c r="CV337" s="9"/>
      <c r="CW337" s="9"/>
      <c r="CX337" s="9"/>
      <c r="CY337" s="9"/>
      <c r="CZ337" s="9"/>
    </row>
    <row r="338" spans="2:104" ht="15" customHeight="1">
      <c r="B338" s="14"/>
      <c r="C338" s="1662"/>
      <c r="D338" s="1661"/>
      <c r="E338" s="1674"/>
      <c r="F338" s="1214" t="s">
        <v>212</v>
      </c>
      <c r="G338" s="1213">
        <v>0.33500000000000002</v>
      </c>
      <c r="H338" s="1213">
        <v>0.75</v>
      </c>
      <c r="I338" s="1213">
        <v>0.75</v>
      </c>
      <c r="J338" s="1213">
        <v>1</v>
      </c>
      <c r="K338" s="1213">
        <v>0.15</v>
      </c>
      <c r="L338" s="1213">
        <f>'3.Hd'!$E$252</f>
        <v>9.3050000000000015</v>
      </c>
      <c r="M338" s="1213">
        <f t="shared" si="43"/>
        <v>5.931937500000001</v>
      </c>
      <c r="N338" s="145"/>
      <c r="O338" s="145"/>
      <c r="P338" s="145"/>
      <c r="Q338" s="1681"/>
      <c r="R338" s="1683"/>
      <c r="S338" s="1684"/>
      <c r="T338" s="1199" t="s">
        <v>213</v>
      </c>
      <c r="U338" s="1198">
        <v>0.78139534883720929</v>
      </c>
      <c r="V338" s="1198">
        <v>0.75</v>
      </c>
      <c r="W338" s="1198">
        <v>0.75</v>
      </c>
      <c r="X338" s="1198">
        <v>1</v>
      </c>
      <c r="Y338" s="1198">
        <v>0.15</v>
      </c>
      <c r="Z338" s="1198">
        <f>'[2]3.Hd'!$E$403</f>
        <v>1.6960999999999999</v>
      </c>
      <c r="AA338" s="512">
        <f t="shared" si="42"/>
        <v>1.08126375</v>
      </c>
      <c r="AB338" s="41"/>
      <c r="AH338" s="1664"/>
      <c r="AI338" s="1196" t="s">
        <v>209</v>
      </c>
      <c r="AJ338" s="1261">
        <v>0.56000000000000005</v>
      </c>
      <c r="AK338" s="1261">
        <v>0.75</v>
      </c>
      <c r="AL338" s="1261">
        <v>0.75</v>
      </c>
      <c r="AM338" s="1261">
        <v>1</v>
      </c>
      <c r="AN338" s="1261">
        <v>0.1</v>
      </c>
      <c r="AO338" s="1261">
        <f>'[2]3.Hd'!$E$404</f>
        <v>2.2075</v>
      </c>
      <c r="AP338" s="512">
        <f t="shared" si="44"/>
        <v>1.4900625000000001</v>
      </c>
      <c r="AR338" s="1656"/>
      <c r="AS338" s="1262" t="s">
        <v>209</v>
      </c>
      <c r="AT338" s="1261">
        <v>0</v>
      </c>
      <c r="AU338" s="1261">
        <v>0.75</v>
      </c>
      <c r="AV338" s="1261">
        <v>0.75</v>
      </c>
      <c r="AW338" s="1261">
        <v>1</v>
      </c>
      <c r="AX338" s="1261">
        <v>0.15</v>
      </c>
      <c r="AY338" s="1261">
        <f>'[2]3.Hd'!$E$403</f>
        <v>1.6960999999999999</v>
      </c>
      <c r="AZ338" s="512">
        <f t="shared" si="45"/>
        <v>1.08126375</v>
      </c>
      <c r="CD338" s="9"/>
      <c r="CE338" s="9"/>
      <c r="CF338" s="380"/>
      <c r="CG338" s="9"/>
      <c r="CH338" s="9"/>
      <c r="CI338" s="9"/>
      <c r="CJ338" s="9"/>
      <c r="CK338" s="9"/>
      <c r="CL338" s="9"/>
      <c r="CM338" s="9"/>
      <c r="CN338" s="9"/>
      <c r="CO338" s="9"/>
      <c r="CP338" s="9"/>
      <c r="CQ338" s="9"/>
      <c r="CR338" s="9"/>
      <c r="CS338" s="9"/>
      <c r="CT338" s="380"/>
      <c r="CU338" s="9"/>
      <c r="CV338" s="9"/>
      <c r="CW338" s="9"/>
      <c r="CX338" s="9"/>
      <c r="CY338" s="9"/>
      <c r="CZ338" s="9"/>
    </row>
    <row r="339" spans="2:104">
      <c r="B339" s="14"/>
      <c r="C339" s="1662"/>
      <c r="D339" s="1661"/>
      <c r="E339" s="1674"/>
      <c r="F339" s="1214" t="s">
        <v>213</v>
      </c>
      <c r="G339" s="1213">
        <v>0.3</v>
      </c>
      <c r="H339" s="1213">
        <v>0.75</v>
      </c>
      <c r="I339" s="1213">
        <v>0.75</v>
      </c>
      <c r="J339" s="1213">
        <v>1</v>
      </c>
      <c r="K339" s="1213">
        <v>0.15</v>
      </c>
      <c r="L339" s="1213">
        <f>'3.Hd'!$E$252</f>
        <v>9.3050000000000015</v>
      </c>
      <c r="M339" s="1213">
        <f t="shared" si="43"/>
        <v>5.931937500000001</v>
      </c>
      <c r="N339" s="145"/>
      <c r="O339" s="145"/>
      <c r="P339" s="145"/>
      <c r="Q339" s="1681"/>
      <c r="R339" s="1683"/>
      <c r="S339" s="1684"/>
      <c r="T339" s="1199" t="s">
        <v>214</v>
      </c>
      <c r="U339" s="1198">
        <v>0.49285714285714288</v>
      </c>
      <c r="V339" s="1198">
        <v>0.75</v>
      </c>
      <c r="W339" s="1198">
        <v>0.75</v>
      </c>
      <c r="X339" s="1198">
        <v>0.99999999999999989</v>
      </c>
      <c r="Y339" s="1198">
        <v>0.15</v>
      </c>
      <c r="Z339" s="1198">
        <f>'[2]3.Hd'!$E$403</f>
        <v>1.6960999999999999</v>
      </c>
      <c r="AA339" s="512">
        <f t="shared" si="42"/>
        <v>1.0812637499999997</v>
      </c>
      <c r="AB339" s="41"/>
      <c r="AH339" s="1664"/>
      <c r="AI339" s="1196" t="s">
        <v>210</v>
      </c>
      <c r="AJ339" s="1261">
        <v>0.62</v>
      </c>
      <c r="AK339" s="1261">
        <v>0.75</v>
      </c>
      <c r="AL339" s="1261">
        <v>0.75</v>
      </c>
      <c r="AM339" s="1261">
        <v>1</v>
      </c>
      <c r="AN339" s="1261">
        <v>0.1</v>
      </c>
      <c r="AO339" s="1261">
        <f>'[2]3.Hd'!$E$404</f>
        <v>2.2075</v>
      </c>
      <c r="AP339" s="512">
        <f t="shared" si="44"/>
        <v>1.4900625000000001</v>
      </c>
      <c r="AR339" s="1656"/>
      <c r="AS339" s="1262" t="s">
        <v>210</v>
      </c>
      <c r="AT339" s="1261">
        <v>0</v>
      </c>
      <c r="AU339" s="1261">
        <v>0.75</v>
      </c>
      <c r="AV339" s="1261">
        <v>0.75</v>
      </c>
      <c r="AW339" s="1261">
        <v>1</v>
      </c>
      <c r="AX339" s="1261">
        <v>0.15</v>
      </c>
      <c r="AY339" s="1261">
        <f>'[2]3.Hd'!$E$403</f>
        <v>1.6960999999999999</v>
      </c>
      <c r="AZ339" s="512">
        <f t="shared" si="45"/>
        <v>1.08126375</v>
      </c>
      <c r="CD339" s="9"/>
      <c r="CE339" s="9"/>
      <c r="CF339" s="145"/>
      <c r="CG339" s="9"/>
      <c r="CH339" s="9"/>
      <c r="CI339" s="9"/>
      <c r="CJ339" s="9"/>
      <c r="CK339" s="9"/>
      <c r="CL339" s="9"/>
      <c r="CM339" s="9"/>
      <c r="CN339" s="9"/>
      <c r="CO339" s="9"/>
      <c r="CP339" s="9"/>
      <c r="CQ339" s="9"/>
      <c r="CR339" s="9"/>
      <c r="CS339" s="9"/>
      <c r="CT339" s="145"/>
      <c r="CU339" s="9"/>
      <c r="CV339" s="9"/>
      <c r="CW339" s="9"/>
      <c r="CX339" s="9"/>
      <c r="CY339" s="9"/>
      <c r="CZ339" s="9"/>
    </row>
    <row r="340" spans="2:104">
      <c r="B340" s="14"/>
      <c r="C340" s="1662"/>
      <c r="D340" s="1661"/>
      <c r="E340" s="1674"/>
      <c r="F340" s="1214" t="s">
        <v>214</v>
      </c>
      <c r="G340" s="1213">
        <v>0.15</v>
      </c>
      <c r="H340" s="1213">
        <v>0.75</v>
      </c>
      <c r="I340" s="1213">
        <v>0.75</v>
      </c>
      <c r="J340" s="1213">
        <v>0.99999999999999989</v>
      </c>
      <c r="K340" s="1213">
        <v>0.15</v>
      </c>
      <c r="L340" s="1213">
        <f>'3.Hd'!$E$252</f>
        <v>9.3050000000000015</v>
      </c>
      <c r="M340" s="1213">
        <f t="shared" si="43"/>
        <v>5.9319374999999992</v>
      </c>
      <c r="N340" s="145"/>
      <c r="O340" s="145"/>
      <c r="P340" s="145"/>
      <c r="Q340" s="1681"/>
      <c r="R340" s="1683"/>
      <c r="S340" s="1685"/>
      <c r="T340" s="1199" t="s">
        <v>215</v>
      </c>
      <c r="U340" s="1198">
        <v>0.63488372093023249</v>
      </c>
      <c r="V340" s="1198">
        <v>0.75</v>
      </c>
      <c r="W340" s="1198">
        <v>0.75</v>
      </c>
      <c r="X340" s="1198">
        <v>1</v>
      </c>
      <c r="Y340" s="1198">
        <v>0.15</v>
      </c>
      <c r="Z340" s="1198">
        <f>'[2]3.Hd'!$E$403</f>
        <v>1.6960999999999999</v>
      </c>
      <c r="AA340" s="512">
        <f t="shared" si="42"/>
        <v>1.08126375</v>
      </c>
      <c r="AB340" s="41"/>
      <c r="AH340" s="1664"/>
      <c r="AI340" s="1196" t="s">
        <v>211</v>
      </c>
      <c r="AJ340" s="1261">
        <v>0.76</v>
      </c>
      <c r="AK340" s="1261">
        <v>0.75</v>
      </c>
      <c r="AL340" s="1261">
        <v>0.75</v>
      </c>
      <c r="AM340" s="1261">
        <v>1</v>
      </c>
      <c r="AN340" s="1261">
        <v>0.1</v>
      </c>
      <c r="AO340" s="1261">
        <f>'[2]3.Hd'!$E$404</f>
        <v>2.2075</v>
      </c>
      <c r="AP340" s="512">
        <f t="shared" si="44"/>
        <v>1.4900625000000001</v>
      </c>
      <c r="AR340" s="1656"/>
      <c r="AS340" s="1262" t="s">
        <v>211</v>
      </c>
      <c r="AT340" s="1261">
        <v>0</v>
      </c>
      <c r="AU340" s="1261">
        <v>0.75</v>
      </c>
      <c r="AV340" s="1261">
        <v>0.75</v>
      </c>
      <c r="AW340" s="1261">
        <v>1</v>
      </c>
      <c r="AX340" s="1261">
        <v>0.15</v>
      </c>
      <c r="AY340" s="1261">
        <f>'[2]3.Hd'!$E$403</f>
        <v>1.6960999999999999</v>
      </c>
      <c r="AZ340" s="512">
        <f t="shared" si="45"/>
        <v>1.08126375</v>
      </c>
      <c r="CD340" s="9"/>
      <c r="CE340" s="9"/>
      <c r="CF340" s="145"/>
      <c r="CG340" s="9"/>
      <c r="CH340" s="9"/>
      <c r="CI340" s="9"/>
      <c r="CJ340" s="9"/>
      <c r="CK340" s="9"/>
      <c r="CL340" s="9"/>
      <c r="CM340" s="9"/>
      <c r="CN340" s="9"/>
      <c r="CO340" s="9"/>
      <c r="CP340" s="9"/>
      <c r="CQ340" s="9"/>
      <c r="CR340" s="9"/>
      <c r="CS340" s="9"/>
      <c r="CT340" s="145"/>
      <c r="CU340" s="9"/>
      <c r="CV340" s="9"/>
      <c r="CW340" s="9"/>
      <c r="CX340" s="9"/>
      <c r="CY340" s="9"/>
      <c r="CZ340" s="9"/>
    </row>
    <row r="341" spans="2:104" ht="15" customHeight="1">
      <c r="B341" s="14"/>
      <c r="C341" s="1662"/>
      <c r="D341" s="1661"/>
      <c r="E341" s="1674"/>
      <c r="F341" s="1214" t="s">
        <v>215</v>
      </c>
      <c r="G341" s="1213">
        <v>0.21</v>
      </c>
      <c r="H341" s="1213">
        <v>0.75</v>
      </c>
      <c r="I341" s="1213">
        <v>0.75</v>
      </c>
      <c r="J341" s="1213">
        <v>1</v>
      </c>
      <c r="K341" s="1213">
        <v>0.15</v>
      </c>
      <c r="L341" s="1213">
        <f>'3.Hd'!$E$252</f>
        <v>9.3050000000000015</v>
      </c>
      <c r="M341" s="1213">
        <f t="shared" si="43"/>
        <v>5.931937500000001</v>
      </c>
      <c r="N341" s="145"/>
      <c r="O341" s="145"/>
      <c r="P341" s="145"/>
      <c r="Q341" s="1681"/>
      <c r="R341" s="1683"/>
      <c r="S341" s="1669" t="s">
        <v>899</v>
      </c>
      <c r="T341" s="1653" t="s">
        <v>24</v>
      </c>
      <c r="U341" s="89" t="s">
        <v>319</v>
      </c>
      <c r="V341" s="89" t="s">
        <v>320</v>
      </c>
      <c r="W341" s="89" t="s">
        <v>321</v>
      </c>
      <c r="X341" s="89" t="s">
        <v>322</v>
      </c>
      <c r="Y341" s="89" t="s">
        <v>323</v>
      </c>
      <c r="Z341" s="89" t="s">
        <v>324</v>
      </c>
      <c r="AA341" s="518" t="s">
        <v>311</v>
      </c>
      <c r="AB341" s="41"/>
      <c r="AH341" s="1664"/>
      <c r="AI341" s="1196" t="s">
        <v>212</v>
      </c>
      <c r="AJ341" s="1261">
        <v>0.82</v>
      </c>
      <c r="AK341" s="1261">
        <v>0.75</v>
      </c>
      <c r="AL341" s="1261">
        <v>0.75</v>
      </c>
      <c r="AM341" s="1261">
        <v>1</v>
      </c>
      <c r="AN341" s="1261">
        <v>0.1</v>
      </c>
      <c r="AO341" s="1261">
        <f>'[2]3.Hd'!$E$404</f>
        <v>2.2075</v>
      </c>
      <c r="AP341" s="512">
        <f t="shared" si="44"/>
        <v>1.4900625000000001</v>
      </c>
      <c r="AR341" s="1656"/>
      <c r="AS341" s="1262" t="s">
        <v>212</v>
      </c>
      <c r="AT341" s="1261">
        <v>0</v>
      </c>
      <c r="AU341" s="1261">
        <v>0.75</v>
      </c>
      <c r="AV341" s="1261">
        <v>0.75</v>
      </c>
      <c r="AW341" s="1261">
        <v>1</v>
      </c>
      <c r="AX341" s="1261">
        <v>0.15</v>
      </c>
      <c r="AY341" s="1261">
        <f>'[2]3.Hd'!$E$403</f>
        <v>1.6960999999999999</v>
      </c>
      <c r="AZ341" s="512">
        <f t="shared" si="45"/>
        <v>1.08126375</v>
      </c>
      <c r="CD341" s="9"/>
      <c r="CE341" s="9"/>
      <c r="CF341" s="145"/>
      <c r="CG341" s="9"/>
      <c r="CH341" s="9"/>
      <c r="CI341" s="9"/>
      <c r="CJ341" s="9"/>
      <c r="CK341" s="9"/>
      <c r="CL341" s="9"/>
      <c r="CM341" s="9"/>
      <c r="CN341" s="9"/>
      <c r="CO341" s="9"/>
      <c r="CP341" s="9"/>
      <c r="CQ341" s="9"/>
      <c r="CR341" s="9"/>
      <c r="CS341" s="9"/>
      <c r="CT341" s="145"/>
      <c r="CU341" s="9"/>
      <c r="CV341" s="9"/>
      <c r="CW341" s="9"/>
      <c r="CX341" s="9"/>
      <c r="CY341" s="9"/>
      <c r="CZ341" s="9"/>
    </row>
    <row r="342" spans="2:104" ht="15" customHeight="1">
      <c r="B342" s="14"/>
      <c r="C342" s="1662"/>
      <c r="D342" s="1661"/>
      <c r="E342" s="1679" t="s">
        <v>903</v>
      </c>
      <c r="F342" s="1653" t="s">
        <v>24</v>
      </c>
      <c r="G342" s="89" t="s">
        <v>319</v>
      </c>
      <c r="H342" s="89" t="s">
        <v>320</v>
      </c>
      <c r="I342" s="89" t="s">
        <v>321</v>
      </c>
      <c r="J342" s="89" t="s">
        <v>322</v>
      </c>
      <c r="K342" s="89" t="s">
        <v>323</v>
      </c>
      <c r="L342" s="89" t="s">
        <v>324</v>
      </c>
      <c r="M342" s="89" t="s">
        <v>311</v>
      </c>
      <c r="N342" s="17"/>
      <c r="O342" s="380"/>
      <c r="P342" s="380"/>
      <c r="Q342" s="1681"/>
      <c r="R342" s="1683"/>
      <c r="S342" s="1670"/>
      <c r="T342" s="1654"/>
      <c r="U342" s="115" t="s">
        <v>24</v>
      </c>
      <c r="V342" s="115" t="s">
        <v>24</v>
      </c>
      <c r="W342" s="115" t="s">
        <v>24</v>
      </c>
      <c r="X342" s="115" t="s">
        <v>24</v>
      </c>
      <c r="Y342" s="115" t="s">
        <v>24</v>
      </c>
      <c r="Z342" s="92" t="s">
        <v>32</v>
      </c>
      <c r="AA342" s="519" t="s">
        <v>32</v>
      </c>
      <c r="AB342" s="41"/>
      <c r="AH342" s="1664"/>
      <c r="AI342" s="1196" t="s">
        <v>213</v>
      </c>
      <c r="AJ342" s="1261">
        <v>0.86</v>
      </c>
      <c r="AK342" s="1261">
        <v>0.75</v>
      </c>
      <c r="AL342" s="1261">
        <v>0.75</v>
      </c>
      <c r="AM342" s="1261">
        <v>1</v>
      </c>
      <c r="AN342" s="1261">
        <v>0.1</v>
      </c>
      <c r="AO342" s="1261">
        <f>'[2]3.Hd'!$E$404</f>
        <v>2.2075</v>
      </c>
      <c r="AP342" s="512">
        <f t="shared" si="44"/>
        <v>1.4900625000000001</v>
      </c>
      <c r="AR342" s="1656"/>
      <c r="AS342" s="1262" t="s">
        <v>213</v>
      </c>
      <c r="AT342" s="1261">
        <v>0</v>
      </c>
      <c r="AU342" s="1261">
        <v>0.75</v>
      </c>
      <c r="AV342" s="1261">
        <v>0.75</v>
      </c>
      <c r="AW342" s="1261">
        <v>1</v>
      </c>
      <c r="AX342" s="1261">
        <v>0.15</v>
      </c>
      <c r="AY342" s="1261">
        <f>'[2]3.Hd'!$E$403</f>
        <v>1.6960999999999999</v>
      </c>
      <c r="AZ342" s="512">
        <f t="shared" si="45"/>
        <v>1.08126375</v>
      </c>
      <c r="CD342" s="9"/>
      <c r="CE342" s="9"/>
      <c r="CF342" s="145"/>
      <c r="CG342" s="9"/>
      <c r="CH342" s="9"/>
      <c r="CI342" s="9"/>
      <c r="CJ342" s="9"/>
      <c r="CK342" s="9"/>
      <c r="CL342" s="9"/>
      <c r="CM342" s="9"/>
      <c r="CN342" s="9"/>
      <c r="CO342" s="9"/>
      <c r="CP342" s="9"/>
      <c r="CQ342" s="9"/>
      <c r="CR342" s="9"/>
      <c r="CS342" s="9"/>
      <c r="CT342" s="145"/>
      <c r="CU342" s="9"/>
      <c r="CV342" s="9"/>
      <c r="CW342" s="9"/>
      <c r="CX342" s="9"/>
      <c r="CY342" s="9"/>
      <c r="CZ342" s="9"/>
    </row>
    <row r="343" spans="2:104" ht="15" customHeight="1">
      <c r="B343" s="14"/>
      <c r="C343" s="1662"/>
      <c r="D343" s="1661"/>
      <c r="E343" s="1679"/>
      <c r="F343" s="1654"/>
      <c r="G343" s="115" t="s">
        <v>24</v>
      </c>
      <c r="H343" s="115" t="s">
        <v>24</v>
      </c>
      <c r="I343" s="115" t="s">
        <v>24</v>
      </c>
      <c r="J343" s="115" t="s">
        <v>24</v>
      </c>
      <c r="K343" s="115" t="s">
        <v>24</v>
      </c>
      <c r="L343" s="92" t="s">
        <v>32</v>
      </c>
      <c r="M343" s="92" t="s">
        <v>32</v>
      </c>
      <c r="N343" s="17"/>
      <c r="O343" s="145"/>
      <c r="P343" s="145"/>
      <c r="Q343" s="1681"/>
      <c r="R343" s="1683"/>
      <c r="S343" s="1670"/>
      <c r="T343" s="1199" t="s">
        <v>204</v>
      </c>
      <c r="U343" s="1198">
        <v>0.81</v>
      </c>
      <c r="V343" s="1198">
        <v>0.75</v>
      </c>
      <c r="W343" s="1198">
        <v>0.75</v>
      </c>
      <c r="X343" s="1198">
        <v>1</v>
      </c>
      <c r="Y343" s="1198">
        <v>0.1</v>
      </c>
      <c r="Z343" s="1198">
        <f>'[2]3.Hd'!$E$404</f>
        <v>2.2075</v>
      </c>
      <c r="AA343" s="512">
        <f t="shared" ref="AA343:AA354" si="46">X343*V343*(1-Y343)*Z343</f>
        <v>1.4900625000000001</v>
      </c>
      <c r="AB343" s="41"/>
      <c r="AH343" s="1664"/>
      <c r="AI343" s="1196" t="s">
        <v>214</v>
      </c>
      <c r="AJ343" s="1261">
        <v>0.84</v>
      </c>
      <c r="AK343" s="1261">
        <v>0.75</v>
      </c>
      <c r="AL343" s="1261">
        <v>0.75</v>
      </c>
      <c r="AM343" s="1261">
        <v>1</v>
      </c>
      <c r="AN343" s="1261">
        <v>0.1</v>
      </c>
      <c r="AO343" s="1261">
        <f>'[2]3.Hd'!$E$404</f>
        <v>2.2075</v>
      </c>
      <c r="AP343" s="512">
        <f t="shared" si="44"/>
        <v>1.4900625000000001</v>
      </c>
      <c r="AR343" s="1656"/>
      <c r="AS343" s="1262" t="s">
        <v>214</v>
      </c>
      <c r="AT343" s="1261">
        <v>0</v>
      </c>
      <c r="AU343" s="1261">
        <v>0.75</v>
      </c>
      <c r="AV343" s="1261">
        <v>0.75</v>
      </c>
      <c r="AW343" s="1261">
        <v>1</v>
      </c>
      <c r="AX343" s="1261">
        <v>0.15</v>
      </c>
      <c r="AY343" s="1261">
        <f>'[2]3.Hd'!$E$403</f>
        <v>1.6960999999999999</v>
      </c>
      <c r="AZ343" s="512">
        <f t="shared" si="45"/>
        <v>1.08126375</v>
      </c>
      <c r="CD343" s="9"/>
      <c r="CE343" s="9"/>
      <c r="CF343" s="145"/>
      <c r="CG343" s="9"/>
      <c r="CH343" s="9"/>
      <c r="CI343" s="9"/>
      <c r="CJ343" s="9"/>
      <c r="CK343" s="9"/>
      <c r="CL343" s="9"/>
      <c r="CM343" s="9"/>
      <c r="CN343" s="9"/>
      <c r="CO343" s="9"/>
      <c r="CP343" s="9"/>
      <c r="CQ343" s="9"/>
      <c r="CR343" s="9"/>
      <c r="CS343" s="9"/>
      <c r="CT343" s="145"/>
      <c r="CU343" s="9"/>
      <c r="CV343" s="9"/>
      <c r="CW343" s="9"/>
      <c r="CX343" s="9"/>
      <c r="CY343" s="9"/>
      <c r="CZ343" s="9"/>
    </row>
    <row r="344" spans="2:104">
      <c r="B344" s="14"/>
      <c r="C344" s="1662"/>
      <c r="D344" s="1661"/>
      <c r="E344" s="1679"/>
      <c r="F344" s="1214" t="s">
        <v>204</v>
      </c>
      <c r="G344" s="1213">
        <v>0</v>
      </c>
      <c r="H344" s="1213">
        <v>0.75</v>
      </c>
      <c r="I344" s="1213">
        <v>0.75</v>
      </c>
      <c r="J344" s="1213">
        <v>1</v>
      </c>
      <c r="K344" s="1213">
        <v>0.15</v>
      </c>
      <c r="L344" s="1213">
        <f>'[2]3.Hd'!$E$403</f>
        <v>1.6960999999999999</v>
      </c>
      <c r="M344" s="1213">
        <f t="shared" ref="M344:M355" si="47">J344*H344*(1-K344)*L344</f>
        <v>1.08126375</v>
      </c>
      <c r="N344" s="145"/>
      <c r="O344" s="145"/>
      <c r="P344" s="145"/>
      <c r="Q344" s="1681"/>
      <c r="R344" s="1683"/>
      <c r="S344" s="1670"/>
      <c r="T344" s="1199" t="s">
        <v>205</v>
      </c>
      <c r="U344" s="1198">
        <v>0.82</v>
      </c>
      <c r="V344" s="1198">
        <v>0.75</v>
      </c>
      <c r="W344" s="1198">
        <v>0.75</v>
      </c>
      <c r="X344" s="1198">
        <v>1</v>
      </c>
      <c r="Y344" s="1198">
        <v>0.1</v>
      </c>
      <c r="Z344" s="1198">
        <f>'[2]3.Hd'!$E$404</f>
        <v>2.2075</v>
      </c>
      <c r="AA344" s="512">
        <f t="shared" si="46"/>
        <v>1.4900625000000001</v>
      </c>
      <c r="AB344" s="41"/>
      <c r="AH344" s="1665"/>
      <c r="AI344" s="1196" t="s">
        <v>215</v>
      </c>
      <c r="AJ344" s="1261">
        <v>0.86</v>
      </c>
      <c r="AK344" s="1261">
        <v>0.75</v>
      </c>
      <c r="AL344" s="1261">
        <v>0.75</v>
      </c>
      <c r="AM344" s="1261">
        <v>1</v>
      </c>
      <c r="AN344" s="1261">
        <v>0.1</v>
      </c>
      <c r="AO344" s="1261">
        <f>'[2]3.Hd'!$E$404</f>
        <v>2.2075</v>
      </c>
      <c r="AP344" s="512">
        <f t="shared" si="44"/>
        <v>1.4900625000000001</v>
      </c>
      <c r="AR344" s="1657"/>
      <c r="AS344" s="1262" t="s">
        <v>215</v>
      </c>
      <c r="AT344" s="1261">
        <v>0</v>
      </c>
      <c r="AU344" s="1261">
        <v>0.75</v>
      </c>
      <c r="AV344" s="1261">
        <v>0.75</v>
      </c>
      <c r="AW344" s="1261">
        <v>1</v>
      </c>
      <c r="AX344" s="1261">
        <v>0.15</v>
      </c>
      <c r="AY344" s="1261">
        <f>'[2]3.Hd'!$E$403</f>
        <v>1.6960999999999999</v>
      </c>
      <c r="AZ344" s="512">
        <f t="shared" si="45"/>
        <v>1.08126375</v>
      </c>
      <c r="CD344" s="9"/>
      <c r="CE344" s="9"/>
      <c r="CF344" s="145"/>
      <c r="CG344" s="9"/>
      <c r="CH344" s="9"/>
      <c r="CI344" s="9"/>
      <c r="CJ344" s="9"/>
      <c r="CK344" s="9"/>
      <c r="CL344" s="9"/>
      <c r="CM344" s="9"/>
      <c r="CN344" s="9"/>
      <c r="CO344" s="9"/>
      <c r="CP344" s="9"/>
      <c r="CQ344" s="9"/>
      <c r="CR344" s="9"/>
      <c r="CS344" s="9"/>
      <c r="CT344" s="145"/>
      <c r="CU344" s="9"/>
      <c r="CV344" s="9"/>
      <c r="CW344" s="9"/>
      <c r="CX344" s="9"/>
      <c r="CY344" s="9"/>
      <c r="CZ344" s="9"/>
    </row>
    <row r="345" spans="2:104">
      <c r="B345" s="14"/>
      <c r="C345" s="1662"/>
      <c r="D345" s="1661"/>
      <c r="E345" s="1679"/>
      <c r="F345" s="1214" t="s">
        <v>205</v>
      </c>
      <c r="G345" s="1213">
        <v>0</v>
      </c>
      <c r="H345" s="1213">
        <v>0.75</v>
      </c>
      <c r="I345" s="1213">
        <v>0.75</v>
      </c>
      <c r="J345" s="1213">
        <v>1</v>
      </c>
      <c r="K345" s="1213">
        <v>0.15</v>
      </c>
      <c r="L345" s="1213">
        <f>'[2]3.Hd'!$E$403</f>
        <v>1.6960999999999999</v>
      </c>
      <c r="M345" s="1213">
        <f t="shared" si="47"/>
        <v>1.08126375</v>
      </c>
      <c r="N345" s="145"/>
      <c r="O345" s="145"/>
      <c r="P345" s="145"/>
      <c r="Q345" s="1681"/>
      <c r="R345" s="1683"/>
      <c r="S345" s="1670"/>
      <c r="T345" s="1199" t="s">
        <v>206</v>
      </c>
      <c r="U345" s="1198">
        <v>0.81</v>
      </c>
      <c r="V345" s="1198">
        <v>0.75</v>
      </c>
      <c r="W345" s="1198">
        <v>0.75</v>
      </c>
      <c r="X345" s="1198">
        <v>1</v>
      </c>
      <c r="Y345" s="1198">
        <v>0.1</v>
      </c>
      <c r="Z345" s="1198">
        <f>'[2]3.Hd'!$E$404</f>
        <v>2.2075</v>
      </c>
      <c r="AA345" s="512">
        <f t="shared" si="46"/>
        <v>1.4900625000000001</v>
      </c>
      <c r="AB345" s="41"/>
      <c r="AT345" s="1201"/>
      <c r="AU345" s="1205"/>
      <c r="AV345" s="1206"/>
      <c r="AW345" s="145"/>
      <c r="AX345" s="145"/>
      <c r="AY345" s="145"/>
      <c r="AZ345" s="145"/>
      <c r="CD345" s="9"/>
      <c r="CE345" s="9"/>
      <c r="CF345" s="145"/>
      <c r="CG345" s="9"/>
      <c r="CH345" s="9"/>
      <c r="CI345" s="9"/>
      <c r="CJ345" s="9"/>
      <c r="CK345" s="9"/>
      <c r="CL345" s="9"/>
      <c r="CM345" s="9"/>
      <c r="CN345" s="9"/>
      <c r="CO345" s="9"/>
      <c r="CP345" s="9"/>
      <c r="CQ345" s="9"/>
      <c r="CR345" s="9"/>
      <c r="CS345" s="9"/>
      <c r="CT345" s="145"/>
      <c r="CU345" s="9"/>
      <c r="CV345" s="9"/>
      <c r="CW345" s="9"/>
      <c r="CX345" s="9"/>
      <c r="CY345" s="9"/>
      <c r="CZ345" s="9"/>
    </row>
    <row r="346" spans="2:104" ht="15" customHeight="1">
      <c r="B346" s="14"/>
      <c r="C346" s="1662"/>
      <c r="D346" s="1661"/>
      <c r="E346" s="1679"/>
      <c r="F346" s="1214" t="s">
        <v>206</v>
      </c>
      <c r="G346" s="1213">
        <v>0</v>
      </c>
      <c r="H346" s="1213">
        <v>0.75</v>
      </c>
      <c r="I346" s="1213">
        <v>0.75</v>
      </c>
      <c r="J346" s="1213">
        <v>1</v>
      </c>
      <c r="K346" s="1213">
        <v>0.15</v>
      </c>
      <c r="L346" s="1213">
        <f>'[2]3.Hd'!$E$403</f>
        <v>1.6960999999999999</v>
      </c>
      <c r="M346" s="1213">
        <f t="shared" si="47"/>
        <v>1.08126375</v>
      </c>
      <c r="N346" s="145"/>
      <c r="O346" s="145"/>
      <c r="P346" s="145"/>
      <c r="Q346" s="1681"/>
      <c r="R346" s="1683"/>
      <c r="S346" s="1670"/>
      <c r="T346" s="1199" t="s">
        <v>207</v>
      </c>
      <c r="U346" s="1198">
        <v>0.74</v>
      </c>
      <c r="V346" s="1198">
        <v>0.75</v>
      </c>
      <c r="W346" s="1198">
        <v>0.75</v>
      </c>
      <c r="X346" s="1198">
        <v>1</v>
      </c>
      <c r="Y346" s="1198">
        <v>0.1</v>
      </c>
      <c r="Z346" s="1198">
        <f>'[2]3.Hd'!$E$404</f>
        <v>2.2075</v>
      </c>
      <c r="AA346" s="512">
        <f t="shared" si="46"/>
        <v>1.4900625000000001</v>
      </c>
      <c r="AB346" s="41"/>
      <c r="AT346" s="1201"/>
      <c r="AU346" s="1205"/>
      <c r="AV346" s="1206"/>
      <c r="AW346" s="145"/>
      <c r="AX346" s="145"/>
      <c r="AY346" s="145"/>
      <c r="AZ346" s="145"/>
      <c r="CD346" s="9"/>
      <c r="CE346" s="9"/>
      <c r="CF346" s="145"/>
      <c r="CG346" s="9"/>
      <c r="CH346" s="9"/>
      <c r="CI346" s="9"/>
      <c r="CJ346" s="9"/>
      <c r="CK346" s="9"/>
      <c r="CL346" s="9"/>
      <c r="CM346" s="9"/>
      <c r="CN346" s="9"/>
      <c r="CO346" s="9"/>
      <c r="CP346" s="9"/>
      <c r="CQ346" s="9"/>
      <c r="CR346" s="9"/>
      <c r="CS346" s="9"/>
      <c r="CT346" s="145"/>
      <c r="CU346" s="9"/>
      <c r="CV346" s="9"/>
      <c r="CW346" s="9"/>
      <c r="CX346" s="9"/>
      <c r="CY346" s="9"/>
      <c r="CZ346" s="9"/>
    </row>
    <row r="347" spans="2:104" ht="15" customHeight="1">
      <c r="B347" s="14"/>
      <c r="C347" s="1662"/>
      <c r="D347" s="1661"/>
      <c r="E347" s="1679"/>
      <c r="F347" s="1214" t="s">
        <v>207</v>
      </c>
      <c r="G347" s="1213">
        <v>0</v>
      </c>
      <c r="H347" s="1213">
        <v>0.75</v>
      </c>
      <c r="I347" s="1213">
        <v>0.75</v>
      </c>
      <c r="J347" s="1213">
        <v>1</v>
      </c>
      <c r="K347" s="1213">
        <v>0.15</v>
      </c>
      <c r="L347" s="1213">
        <f>'[2]3.Hd'!$E$403</f>
        <v>1.6960999999999999</v>
      </c>
      <c r="M347" s="1213">
        <f t="shared" si="47"/>
        <v>1.08126375</v>
      </c>
      <c r="N347" s="145"/>
      <c r="O347" s="145"/>
      <c r="P347" s="145"/>
      <c r="Q347" s="1681"/>
      <c r="R347" s="1683"/>
      <c r="S347" s="1670"/>
      <c r="T347" s="1199" t="s">
        <v>208</v>
      </c>
      <c r="U347" s="1198">
        <v>0.62</v>
      </c>
      <c r="V347" s="1198">
        <v>0.75</v>
      </c>
      <c r="W347" s="1198">
        <v>0.75</v>
      </c>
      <c r="X347" s="1198">
        <v>1</v>
      </c>
      <c r="Y347" s="1198">
        <v>0.1</v>
      </c>
      <c r="Z347" s="1198">
        <f>'[2]3.Hd'!$E$404</f>
        <v>2.2075</v>
      </c>
      <c r="AA347" s="512">
        <f t="shared" si="46"/>
        <v>1.4900625000000001</v>
      </c>
      <c r="AB347" s="1218"/>
      <c r="AH347" s="1669" t="s">
        <v>898</v>
      </c>
      <c r="AI347" s="1653" t="s">
        <v>24</v>
      </c>
      <c r="AJ347" s="89" t="s">
        <v>319</v>
      </c>
      <c r="AK347" s="89" t="s">
        <v>320</v>
      </c>
      <c r="AL347" s="89" t="s">
        <v>321</v>
      </c>
      <c r="AM347" s="89" t="s">
        <v>322</v>
      </c>
      <c r="AN347" s="89" t="s">
        <v>323</v>
      </c>
      <c r="AO347" s="89" t="s">
        <v>324</v>
      </c>
      <c r="AP347" s="518" t="s">
        <v>311</v>
      </c>
      <c r="AR347" s="1692" t="s">
        <v>897</v>
      </c>
      <c r="AS347" s="1653" t="s">
        <v>24</v>
      </c>
      <c r="AT347" s="89" t="s">
        <v>319</v>
      </c>
      <c r="AU347" s="89" t="s">
        <v>320</v>
      </c>
      <c r="AV347" s="89" t="s">
        <v>321</v>
      </c>
      <c r="AW347" s="89" t="s">
        <v>322</v>
      </c>
      <c r="AX347" s="89" t="s">
        <v>323</v>
      </c>
      <c r="AY347" s="89" t="s">
        <v>324</v>
      </c>
      <c r="AZ347" s="518" t="s">
        <v>311</v>
      </c>
      <c r="CD347" s="9"/>
      <c r="CE347" s="9"/>
      <c r="CF347" s="145"/>
      <c r="CG347" s="9"/>
      <c r="CH347" s="9"/>
      <c r="CI347" s="9"/>
      <c r="CJ347" s="9"/>
      <c r="CK347" s="9"/>
      <c r="CL347" s="9"/>
      <c r="CM347" s="9"/>
      <c r="CN347" s="9"/>
      <c r="CO347" s="9"/>
      <c r="CP347" s="9"/>
      <c r="CQ347" s="9"/>
      <c r="CR347" s="9"/>
      <c r="CS347" s="9"/>
      <c r="CT347" s="145"/>
      <c r="CU347" s="9"/>
      <c r="CV347" s="9"/>
      <c r="CW347" s="9"/>
      <c r="CX347" s="9"/>
      <c r="CY347" s="9"/>
      <c r="CZ347" s="9"/>
    </row>
    <row r="348" spans="2:104" ht="15" customHeight="1">
      <c r="B348" s="14"/>
      <c r="C348" s="1662"/>
      <c r="D348" s="1661"/>
      <c r="E348" s="1679"/>
      <c r="F348" s="1214" t="s">
        <v>208</v>
      </c>
      <c r="G348" s="1213">
        <v>0</v>
      </c>
      <c r="H348" s="1213">
        <v>0.75</v>
      </c>
      <c r="I348" s="1213">
        <v>0.75</v>
      </c>
      <c r="J348" s="1213">
        <v>1</v>
      </c>
      <c r="K348" s="1213">
        <v>0.15</v>
      </c>
      <c r="L348" s="1213">
        <f>'[2]3.Hd'!$E$403</f>
        <v>1.6960999999999999</v>
      </c>
      <c r="M348" s="1213">
        <f t="shared" si="47"/>
        <v>1.08126375</v>
      </c>
      <c r="N348" s="145"/>
      <c r="O348" s="145"/>
      <c r="P348" s="145"/>
      <c r="Q348" s="1681"/>
      <c r="R348" s="1683"/>
      <c r="S348" s="1670"/>
      <c r="T348" s="1199" t="s">
        <v>209</v>
      </c>
      <c r="U348" s="1198">
        <v>0.56000000000000005</v>
      </c>
      <c r="V348" s="1198">
        <v>0.75</v>
      </c>
      <c r="W348" s="1198">
        <v>0.75</v>
      </c>
      <c r="X348" s="1198">
        <v>1</v>
      </c>
      <c r="Y348" s="1198">
        <v>0.1</v>
      </c>
      <c r="Z348" s="1198">
        <f>'[2]3.Hd'!$E$404</f>
        <v>2.2075</v>
      </c>
      <c r="AA348" s="512">
        <f t="shared" si="46"/>
        <v>1.4900625000000001</v>
      </c>
      <c r="AB348" s="1218"/>
      <c r="AH348" s="1670"/>
      <c r="AI348" s="1654"/>
      <c r="AJ348" s="115" t="s">
        <v>24</v>
      </c>
      <c r="AK348" s="115" t="s">
        <v>24</v>
      </c>
      <c r="AL348" s="115" t="s">
        <v>24</v>
      </c>
      <c r="AM348" s="115" t="s">
        <v>24</v>
      </c>
      <c r="AN348" s="115" t="s">
        <v>24</v>
      </c>
      <c r="AO348" s="92" t="s">
        <v>32</v>
      </c>
      <c r="AP348" s="519" t="s">
        <v>32</v>
      </c>
      <c r="AR348" s="1692"/>
      <c r="AS348" s="1654"/>
      <c r="AT348" s="115" t="s">
        <v>24</v>
      </c>
      <c r="AU348" s="115" t="s">
        <v>24</v>
      </c>
      <c r="AV348" s="115" t="s">
        <v>24</v>
      </c>
      <c r="AW348" s="115" t="s">
        <v>24</v>
      </c>
      <c r="AX348" s="115" t="s">
        <v>24</v>
      </c>
      <c r="AY348" s="92" t="s">
        <v>32</v>
      </c>
      <c r="AZ348" s="519" t="s">
        <v>32</v>
      </c>
      <c r="CD348" s="9"/>
      <c r="CE348" s="9"/>
      <c r="CF348" s="145"/>
      <c r="CG348" s="9"/>
      <c r="CH348" s="9"/>
      <c r="CI348" s="9"/>
      <c r="CJ348" s="9"/>
      <c r="CK348" s="9"/>
      <c r="CL348" s="9"/>
      <c r="CM348" s="9"/>
      <c r="CN348" s="9"/>
      <c r="CO348" s="9"/>
      <c r="CP348" s="9"/>
      <c r="CQ348" s="9"/>
      <c r="CR348" s="9"/>
      <c r="CS348" s="9"/>
      <c r="CT348" s="145"/>
      <c r="CU348" s="9"/>
      <c r="CV348" s="9"/>
      <c r="CW348" s="9"/>
      <c r="CX348" s="9"/>
      <c r="CY348" s="9"/>
      <c r="CZ348" s="9"/>
    </row>
    <row r="349" spans="2:104" ht="18" customHeight="1">
      <c r="B349" s="14"/>
      <c r="C349" s="1662"/>
      <c r="D349" s="1661"/>
      <c r="E349" s="1679"/>
      <c r="F349" s="1214" t="s">
        <v>209</v>
      </c>
      <c r="G349" s="1213">
        <v>0</v>
      </c>
      <c r="H349" s="1213">
        <v>0.75</v>
      </c>
      <c r="I349" s="1213">
        <v>0.75</v>
      </c>
      <c r="J349" s="1213">
        <v>1</v>
      </c>
      <c r="K349" s="1213">
        <v>0.15</v>
      </c>
      <c r="L349" s="1213">
        <f>'[2]3.Hd'!$E$403</f>
        <v>1.6960999999999999</v>
      </c>
      <c r="M349" s="1213">
        <f t="shared" si="47"/>
        <v>1.08126375</v>
      </c>
      <c r="N349" s="145"/>
      <c r="O349" s="145"/>
      <c r="P349" s="145"/>
      <c r="Q349" s="1681"/>
      <c r="R349" s="1683"/>
      <c r="S349" s="1670"/>
      <c r="T349" s="1199" t="s">
        <v>210</v>
      </c>
      <c r="U349" s="1198">
        <v>0.62</v>
      </c>
      <c r="V349" s="1198">
        <v>0.75</v>
      </c>
      <c r="W349" s="1198">
        <v>0.75</v>
      </c>
      <c r="X349" s="1198">
        <v>1</v>
      </c>
      <c r="Y349" s="1198">
        <v>0.1</v>
      </c>
      <c r="Z349" s="1198">
        <f>'[2]3.Hd'!$E$404</f>
        <v>2.2075</v>
      </c>
      <c r="AA349" s="512">
        <f t="shared" si="46"/>
        <v>1.4900625000000001</v>
      </c>
      <c r="AB349" s="1219"/>
      <c r="AH349" s="1670"/>
      <c r="AI349" s="1196" t="s">
        <v>204</v>
      </c>
      <c r="AJ349" s="1261">
        <f>AJ317+(((0-AJ317)/(0-AJ333))*(AJ333-AJ317))</f>
        <v>0.59222222222222221</v>
      </c>
      <c r="AK349" s="1261">
        <f>AK317+(((0-AK317)/(0-AK333))*(AK333-AK317))</f>
        <v>0.75</v>
      </c>
      <c r="AL349" s="1261">
        <v>0.75</v>
      </c>
      <c r="AM349" s="1261">
        <v>1</v>
      </c>
      <c r="AN349" s="1261">
        <v>0.15</v>
      </c>
      <c r="AO349" s="1261">
        <f>'[2]3.Hd'!$E$403</f>
        <v>1.6960999999999999</v>
      </c>
      <c r="AP349" s="512">
        <f t="shared" ref="AP349:AP360" si="48">AM349*AK349*(1-AN349)*AO349</f>
        <v>1.08126375</v>
      </c>
      <c r="AR349" s="1692"/>
      <c r="AS349" s="1262" t="s">
        <v>204</v>
      </c>
      <c r="AT349" s="1261">
        <f>(AT333+AT317)/2</f>
        <v>0.19500000000000001</v>
      </c>
      <c r="AU349" s="1261">
        <v>0.75</v>
      </c>
      <c r="AV349" s="1261">
        <v>0.75</v>
      </c>
      <c r="AW349" s="1261">
        <v>1</v>
      </c>
      <c r="AX349" s="1261">
        <v>0.15</v>
      </c>
      <c r="AY349" s="1261">
        <f>'3.Hd'!$E$251</f>
        <v>2.8375000000000004</v>
      </c>
      <c r="AZ349" s="512">
        <f>AW349*AU349*(1-AX349)*AY349</f>
        <v>1.8089062500000002</v>
      </c>
      <c r="CD349" s="9"/>
      <c r="CE349" s="9"/>
      <c r="CF349" s="145"/>
      <c r="CG349" s="9"/>
      <c r="CH349" s="9"/>
      <c r="CI349" s="9"/>
      <c r="CJ349" s="9"/>
      <c r="CK349" s="9"/>
      <c r="CL349" s="9"/>
      <c r="CM349" s="9"/>
      <c r="CN349" s="9"/>
      <c r="CO349" s="9"/>
      <c r="CP349" s="9"/>
      <c r="CQ349" s="9"/>
      <c r="CR349" s="9"/>
      <c r="CS349" s="9"/>
      <c r="CT349" s="145"/>
      <c r="CU349" s="9"/>
      <c r="CV349" s="9"/>
      <c r="CW349" s="9"/>
      <c r="CX349" s="9"/>
      <c r="CY349" s="9"/>
      <c r="CZ349" s="9"/>
    </row>
    <row r="350" spans="2:104" ht="18" customHeight="1">
      <c r="B350" s="14"/>
      <c r="C350" s="1662"/>
      <c r="D350" s="1661"/>
      <c r="E350" s="1679"/>
      <c r="F350" s="1214" t="s">
        <v>210</v>
      </c>
      <c r="G350" s="1213">
        <v>0</v>
      </c>
      <c r="H350" s="1213">
        <v>0.75</v>
      </c>
      <c r="I350" s="1213">
        <v>0.75</v>
      </c>
      <c r="J350" s="1213">
        <v>1</v>
      </c>
      <c r="K350" s="1213">
        <v>0.15</v>
      </c>
      <c r="L350" s="1213">
        <f>'[2]3.Hd'!$E$403</f>
        <v>1.6960999999999999</v>
      </c>
      <c r="M350" s="1213">
        <f t="shared" si="47"/>
        <v>1.08126375</v>
      </c>
      <c r="N350" s="145"/>
      <c r="O350" s="145"/>
      <c r="P350" s="145"/>
      <c r="Q350" s="1681"/>
      <c r="R350" s="1683"/>
      <c r="S350" s="1670"/>
      <c r="T350" s="1199" t="s">
        <v>211</v>
      </c>
      <c r="U350" s="1198">
        <v>0.76</v>
      </c>
      <c r="V350" s="1198">
        <v>0.75</v>
      </c>
      <c r="W350" s="1198">
        <v>0.75</v>
      </c>
      <c r="X350" s="1198">
        <v>1</v>
      </c>
      <c r="Y350" s="1198">
        <v>0.1</v>
      </c>
      <c r="Z350" s="1198">
        <f>'[2]3.Hd'!$E$404</f>
        <v>2.2075</v>
      </c>
      <c r="AA350" s="512">
        <f t="shared" si="46"/>
        <v>1.4900625000000001</v>
      </c>
      <c r="AB350" s="1219"/>
      <c r="AH350" s="1670"/>
      <c r="AI350" s="1196" t="s">
        <v>205</v>
      </c>
      <c r="AJ350" s="1261">
        <f t="shared" ref="AJ350:AK360" si="49">AJ318+(((0-AJ318)/(0-AJ334))*(AJ334-AJ318))</f>
        <v>0.73109756097560974</v>
      </c>
      <c r="AK350" s="1261">
        <f t="shared" si="49"/>
        <v>0.75</v>
      </c>
      <c r="AL350" s="1261">
        <v>0.75</v>
      </c>
      <c r="AM350" s="1261">
        <v>1</v>
      </c>
      <c r="AN350" s="1261">
        <v>0.15</v>
      </c>
      <c r="AO350" s="1261">
        <f>'[2]3.Hd'!$E$403</f>
        <v>1.6960999999999999</v>
      </c>
      <c r="AP350" s="512">
        <f t="shared" si="48"/>
        <v>1.08126375</v>
      </c>
      <c r="AR350" s="1692"/>
      <c r="AS350" s="1262" t="s">
        <v>205</v>
      </c>
      <c r="AT350" s="1261">
        <f t="shared" ref="AT350:AT360" si="50">(AT334+AT318)/2</f>
        <v>0.27500000000000002</v>
      </c>
      <c r="AU350" s="1261">
        <v>0.75</v>
      </c>
      <c r="AV350" s="1261">
        <v>0.75</v>
      </c>
      <c r="AW350" s="1261">
        <v>1</v>
      </c>
      <c r="AX350" s="1261">
        <v>0.15</v>
      </c>
      <c r="AY350" s="1261">
        <f>'3.Hd'!$E$251</f>
        <v>2.8375000000000004</v>
      </c>
      <c r="AZ350" s="512">
        <f t="shared" ref="AZ350:AZ360" si="51">AW350*AU350*(1-AX350)*AY350</f>
        <v>1.8089062500000002</v>
      </c>
      <c r="CD350" s="9"/>
      <c r="CE350" s="9"/>
      <c r="CF350" s="145"/>
      <c r="CG350" s="9"/>
      <c r="CH350" s="9"/>
      <c r="CI350" s="9"/>
      <c r="CJ350" s="9"/>
      <c r="CK350" s="9"/>
      <c r="CL350" s="9"/>
      <c r="CM350" s="9"/>
      <c r="CN350" s="9"/>
      <c r="CO350" s="9"/>
      <c r="CP350" s="9"/>
      <c r="CQ350" s="9"/>
      <c r="CR350" s="9"/>
      <c r="CS350" s="9"/>
      <c r="CT350" s="145"/>
      <c r="CU350" s="9"/>
      <c r="CV350" s="9"/>
      <c r="CW350" s="9"/>
      <c r="CX350" s="9"/>
      <c r="CY350" s="9"/>
      <c r="CZ350" s="9"/>
    </row>
    <row r="351" spans="2:104">
      <c r="B351" s="14"/>
      <c r="C351" s="1662"/>
      <c r="D351" s="1661"/>
      <c r="E351" s="1679"/>
      <c r="F351" s="1214" t="s">
        <v>211</v>
      </c>
      <c r="G351" s="1213">
        <v>0</v>
      </c>
      <c r="H351" s="1213">
        <v>0.75</v>
      </c>
      <c r="I351" s="1213">
        <v>0.75</v>
      </c>
      <c r="J351" s="1213">
        <v>1</v>
      </c>
      <c r="K351" s="1213">
        <v>0.15</v>
      </c>
      <c r="L351" s="1213">
        <f>'[2]3.Hd'!$E$403</f>
        <v>1.6960999999999999</v>
      </c>
      <c r="M351" s="1213">
        <f t="shared" si="47"/>
        <v>1.08126375</v>
      </c>
      <c r="N351" s="145"/>
      <c r="O351" s="145"/>
      <c r="P351" s="145"/>
      <c r="Q351" s="1681"/>
      <c r="R351" s="1683"/>
      <c r="S351" s="1670"/>
      <c r="T351" s="1199" t="s">
        <v>212</v>
      </c>
      <c r="U351" s="1198">
        <v>0.82</v>
      </c>
      <c r="V351" s="1198">
        <v>0.75</v>
      </c>
      <c r="W351" s="1198">
        <v>0.75</v>
      </c>
      <c r="X351" s="1198">
        <v>1</v>
      </c>
      <c r="Y351" s="1198">
        <v>0.1</v>
      </c>
      <c r="Z351" s="1198">
        <f>'[2]3.Hd'!$E$404</f>
        <v>2.2075</v>
      </c>
      <c r="AA351" s="512">
        <f t="shared" si="46"/>
        <v>1.4900625000000001</v>
      </c>
      <c r="AB351" s="380"/>
      <c r="AH351" s="1670"/>
      <c r="AI351" s="1196" t="s">
        <v>206</v>
      </c>
      <c r="AJ351" s="1261">
        <f t="shared" si="49"/>
        <v>0.77</v>
      </c>
      <c r="AK351" s="1261">
        <f t="shared" si="49"/>
        <v>0.75</v>
      </c>
      <c r="AL351" s="1261">
        <v>0.75</v>
      </c>
      <c r="AM351" s="1261">
        <v>1</v>
      </c>
      <c r="AN351" s="1261">
        <v>0.15</v>
      </c>
      <c r="AO351" s="1261">
        <f>'[2]3.Hd'!$E$403</f>
        <v>1.6960999999999999</v>
      </c>
      <c r="AP351" s="512">
        <f t="shared" si="48"/>
        <v>1.08126375</v>
      </c>
      <c r="AR351" s="1692"/>
      <c r="AS351" s="1262" t="s">
        <v>206</v>
      </c>
      <c r="AT351" s="1261">
        <f t="shared" si="50"/>
        <v>0.315</v>
      </c>
      <c r="AU351" s="1261">
        <v>0.75</v>
      </c>
      <c r="AV351" s="1261">
        <v>0.75</v>
      </c>
      <c r="AW351" s="1261">
        <v>1</v>
      </c>
      <c r="AX351" s="1261">
        <v>0.15</v>
      </c>
      <c r="AY351" s="1261">
        <f>'3.Hd'!$E$251</f>
        <v>2.8375000000000004</v>
      </c>
      <c r="AZ351" s="512">
        <f t="shared" si="51"/>
        <v>1.8089062500000002</v>
      </c>
      <c r="CD351" s="9"/>
      <c r="CE351" s="9"/>
      <c r="CF351" s="145"/>
      <c r="CG351" s="9"/>
      <c r="CH351" s="9"/>
      <c r="CI351" s="9"/>
      <c r="CJ351" s="9"/>
      <c r="CK351" s="9"/>
      <c r="CL351" s="9"/>
      <c r="CM351" s="9"/>
      <c r="CN351" s="9"/>
      <c r="CO351" s="9"/>
      <c r="CP351" s="9"/>
      <c r="CQ351" s="9"/>
      <c r="CR351" s="9"/>
      <c r="CS351" s="9"/>
      <c r="CT351" s="145"/>
      <c r="CU351" s="9"/>
      <c r="CV351" s="9"/>
      <c r="CW351" s="9"/>
      <c r="CX351" s="9"/>
      <c r="CY351" s="9"/>
      <c r="CZ351" s="9"/>
    </row>
    <row r="352" spans="2:104" ht="15" customHeight="1">
      <c r="B352" s="14"/>
      <c r="C352" s="1662"/>
      <c r="D352" s="1661"/>
      <c r="E352" s="1679"/>
      <c r="F352" s="1214" t="s">
        <v>212</v>
      </c>
      <c r="G352" s="1213">
        <v>0</v>
      </c>
      <c r="H352" s="1213">
        <v>0.75</v>
      </c>
      <c r="I352" s="1213">
        <v>0.75</v>
      </c>
      <c r="J352" s="1213">
        <v>1</v>
      </c>
      <c r="K352" s="1213">
        <v>0.15</v>
      </c>
      <c r="L352" s="1213">
        <f>'[2]3.Hd'!$E$403</f>
        <v>1.6960999999999999</v>
      </c>
      <c r="M352" s="1213">
        <f t="shared" si="47"/>
        <v>1.08126375</v>
      </c>
      <c r="N352" s="145"/>
      <c r="O352" s="145"/>
      <c r="P352" s="145"/>
      <c r="Q352" s="1681"/>
      <c r="R352" s="1683"/>
      <c r="S352" s="1670"/>
      <c r="T352" s="1199" t="s">
        <v>213</v>
      </c>
      <c r="U352" s="1198">
        <v>0.86</v>
      </c>
      <c r="V352" s="1198">
        <v>0.75</v>
      </c>
      <c r="W352" s="1198">
        <v>0.75</v>
      </c>
      <c r="X352" s="1198">
        <v>1</v>
      </c>
      <c r="Y352" s="1198">
        <v>0.1</v>
      </c>
      <c r="Z352" s="1198">
        <f>'[2]3.Hd'!$E$404</f>
        <v>2.2075</v>
      </c>
      <c r="AA352" s="512">
        <f t="shared" si="46"/>
        <v>1.4900625000000001</v>
      </c>
      <c r="AB352" s="145"/>
      <c r="AH352" s="1670"/>
      <c r="AI352" s="1196" t="s">
        <v>207</v>
      </c>
      <c r="AJ352" s="1261">
        <f t="shared" si="49"/>
        <v>0.72054054054054051</v>
      </c>
      <c r="AK352" s="1261">
        <f t="shared" si="49"/>
        <v>0.75</v>
      </c>
      <c r="AL352" s="1261">
        <v>0.75</v>
      </c>
      <c r="AM352" s="1261">
        <v>1</v>
      </c>
      <c r="AN352" s="1261">
        <v>0.15</v>
      </c>
      <c r="AO352" s="1261">
        <f>'[2]3.Hd'!$E$403</f>
        <v>1.6960999999999999</v>
      </c>
      <c r="AP352" s="512">
        <f t="shared" si="48"/>
        <v>1.08126375</v>
      </c>
      <c r="AR352" s="1692"/>
      <c r="AS352" s="1262" t="s">
        <v>207</v>
      </c>
      <c r="AT352" s="1261">
        <f t="shared" si="50"/>
        <v>0.31</v>
      </c>
      <c r="AU352" s="1261">
        <v>0.75</v>
      </c>
      <c r="AV352" s="1261">
        <v>0.75</v>
      </c>
      <c r="AW352" s="1261">
        <v>1</v>
      </c>
      <c r="AX352" s="1261">
        <v>0.15</v>
      </c>
      <c r="AY352" s="1261">
        <f>'3.Hd'!$E$251</f>
        <v>2.8375000000000004</v>
      </c>
      <c r="AZ352" s="512">
        <f t="shared" si="51"/>
        <v>1.8089062500000002</v>
      </c>
      <c r="CD352" s="9"/>
      <c r="CE352" s="9"/>
      <c r="CF352" s="1114"/>
      <c r="CG352" s="9"/>
      <c r="CH352" s="9"/>
      <c r="CI352" s="9"/>
      <c r="CJ352" s="9"/>
      <c r="CK352" s="9"/>
      <c r="CL352" s="9"/>
      <c r="CM352" s="9"/>
      <c r="CN352" s="9"/>
      <c r="CO352" s="9"/>
      <c r="CP352" s="9"/>
      <c r="CQ352" s="9"/>
      <c r="CR352" s="9"/>
      <c r="CS352" s="9"/>
      <c r="CT352" s="1114"/>
      <c r="CU352" s="9"/>
      <c r="CV352" s="9"/>
      <c r="CW352" s="9"/>
      <c r="CX352" s="9"/>
      <c r="CY352" s="9"/>
      <c r="CZ352" s="9"/>
    </row>
    <row r="353" spans="2:104">
      <c r="B353" s="14"/>
      <c r="C353" s="1662"/>
      <c r="D353" s="1661"/>
      <c r="E353" s="1679"/>
      <c r="F353" s="1214" t="s">
        <v>213</v>
      </c>
      <c r="G353" s="1213">
        <v>0</v>
      </c>
      <c r="H353" s="1213">
        <v>0.75</v>
      </c>
      <c r="I353" s="1213">
        <v>0.75</v>
      </c>
      <c r="J353" s="1213">
        <v>1</v>
      </c>
      <c r="K353" s="1213">
        <v>0.15</v>
      </c>
      <c r="L353" s="1213">
        <f>'[2]3.Hd'!$E$403</f>
        <v>1.6960999999999999</v>
      </c>
      <c r="M353" s="1213">
        <f t="shared" si="47"/>
        <v>1.08126375</v>
      </c>
      <c r="N353" s="145"/>
      <c r="O353" s="145"/>
      <c r="P353" s="145"/>
      <c r="Q353" s="1681"/>
      <c r="R353" s="1683"/>
      <c r="S353" s="1670"/>
      <c r="T353" s="1199" t="s">
        <v>214</v>
      </c>
      <c r="U353" s="1198">
        <v>0.84</v>
      </c>
      <c r="V353" s="1198">
        <v>0.75</v>
      </c>
      <c r="W353" s="1198">
        <v>0.75</v>
      </c>
      <c r="X353" s="1198">
        <v>1</v>
      </c>
      <c r="Y353" s="1198">
        <v>0.1</v>
      </c>
      <c r="Z353" s="1198">
        <f>'[2]3.Hd'!$E$404</f>
        <v>2.2075</v>
      </c>
      <c r="AA353" s="512">
        <f t="shared" si="46"/>
        <v>1.4900625000000001</v>
      </c>
      <c r="AB353" s="145"/>
      <c r="AH353" s="1670"/>
      <c r="AI353" s="1196" t="s">
        <v>208</v>
      </c>
      <c r="AJ353" s="1261">
        <f t="shared" si="49"/>
        <v>0.61935483870967745</v>
      </c>
      <c r="AK353" s="1261">
        <f t="shared" si="49"/>
        <v>0.75</v>
      </c>
      <c r="AL353" s="1261">
        <v>0.75</v>
      </c>
      <c r="AM353" s="1261">
        <v>1</v>
      </c>
      <c r="AN353" s="1261">
        <v>0.15</v>
      </c>
      <c r="AO353" s="1261">
        <f>'[2]3.Hd'!$E$403</f>
        <v>1.6960999999999999</v>
      </c>
      <c r="AP353" s="512">
        <f t="shared" si="48"/>
        <v>1.08126375</v>
      </c>
      <c r="AR353" s="1692"/>
      <c r="AS353" s="1262" t="s">
        <v>208</v>
      </c>
      <c r="AT353" s="1261">
        <f t="shared" si="50"/>
        <v>0.32</v>
      </c>
      <c r="AU353" s="1261">
        <v>0.75</v>
      </c>
      <c r="AV353" s="1261">
        <v>0.75</v>
      </c>
      <c r="AW353" s="1261">
        <v>1</v>
      </c>
      <c r="AX353" s="1261">
        <v>0.15</v>
      </c>
      <c r="AY353" s="1261">
        <f>'3.Hd'!$E$251</f>
        <v>2.8375000000000004</v>
      </c>
      <c r="AZ353" s="512">
        <f t="shared" si="51"/>
        <v>1.8089062500000002</v>
      </c>
      <c r="CD353" s="9"/>
      <c r="CE353" s="9"/>
      <c r="CF353" s="22"/>
      <c r="CG353" s="9"/>
      <c r="CH353" s="9"/>
      <c r="CI353" s="9"/>
      <c r="CJ353" s="9"/>
      <c r="CK353" s="9"/>
      <c r="CL353" s="9"/>
      <c r="CM353" s="9"/>
      <c r="CN353" s="9"/>
      <c r="CO353" s="9"/>
      <c r="CP353" s="9"/>
      <c r="CQ353" s="9"/>
      <c r="CR353" s="9"/>
      <c r="CS353" s="9"/>
      <c r="CT353" s="22"/>
      <c r="CU353" s="9"/>
      <c r="CV353" s="9"/>
      <c r="CW353" s="9"/>
      <c r="CX353" s="9"/>
      <c r="CY353" s="9"/>
      <c r="CZ353" s="9"/>
    </row>
    <row r="354" spans="2:104">
      <c r="B354" s="14"/>
      <c r="C354" s="1662"/>
      <c r="D354" s="1661"/>
      <c r="E354" s="1679"/>
      <c r="F354" s="1214" t="s">
        <v>214</v>
      </c>
      <c r="G354" s="1213">
        <v>0</v>
      </c>
      <c r="H354" s="1213">
        <v>0.75</v>
      </c>
      <c r="I354" s="1213">
        <v>0.75</v>
      </c>
      <c r="J354" s="1213">
        <v>1</v>
      </c>
      <c r="K354" s="1213">
        <v>0.15</v>
      </c>
      <c r="L354" s="1213">
        <f>'[2]3.Hd'!$E$403</f>
        <v>1.6960999999999999</v>
      </c>
      <c r="M354" s="1213">
        <f t="shared" si="47"/>
        <v>1.08126375</v>
      </c>
      <c r="N354" s="145"/>
      <c r="O354" s="145"/>
      <c r="P354" s="145"/>
      <c r="Q354" s="1681"/>
      <c r="R354" s="1683"/>
      <c r="S354" s="1671"/>
      <c r="T354" s="1199" t="s">
        <v>215</v>
      </c>
      <c r="U354" s="1198">
        <v>0.86</v>
      </c>
      <c r="V354" s="1198">
        <v>0.75</v>
      </c>
      <c r="W354" s="1198">
        <v>0.75</v>
      </c>
      <c r="X354" s="1198">
        <v>1</v>
      </c>
      <c r="Y354" s="1198">
        <v>0.1</v>
      </c>
      <c r="Z354" s="1198">
        <f>'[2]3.Hd'!$E$404</f>
        <v>2.2075</v>
      </c>
      <c r="AA354" s="512">
        <f t="shared" si="46"/>
        <v>1.4900625000000001</v>
      </c>
      <c r="AB354" s="145"/>
      <c r="AH354" s="1670"/>
      <c r="AI354" s="1196" t="s">
        <v>209</v>
      </c>
      <c r="AJ354" s="1261">
        <f t="shared" si="49"/>
        <v>0.53428571428571436</v>
      </c>
      <c r="AK354" s="1261">
        <f t="shared" si="49"/>
        <v>0.75</v>
      </c>
      <c r="AL354" s="1261">
        <v>0.75</v>
      </c>
      <c r="AM354" s="1261">
        <v>1</v>
      </c>
      <c r="AN354" s="1261">
        <v>0.15</v>
      </c>
      <c r="AO354" s="1261">
        <f>'[2]3.Hd'!$E$403</f>
        <v>1.6960999999999999</v>
      </c>
      <c r="AP354" s="512">
        <f t="shared" si="48"/>
        <v>1.08126375</v>
      </c>
      <c r="AR354" s="1692"/>
      <c r="AS354" s="1262" t="s">
        <v>209</v>
      </c>
      <c r="AT354" s="1261">
        <f t="shared" si="50"/>
        <v>0.34</v>
      </c>
      <c r="AU354" s="1261">
        <v>0.75</v>
      </c>
      <c r="AV354" s="1261">
        <v>0.75</v>
      </c>
      <c r="AW354" s="1261">
        <v>1</v>
      </c>
      <c r="AX354" s="1261">
        <v>0.15</v>
      </c>
      <c r="AY354" s="1261">
        <f>'3.Hd'!$E$251</f>
        <v>2.8375000000000004</v>
      </c>
      <c r="AZ354" s="512">
        <f t="shared" si="51"/>
        <v>1.8089062500000002</v>
      </c>
      <c r="CD354" s="9"/>
      <c r="CE354" s="9"/>
      <c r="CF354" s="145"/>
      <c r="CG354" s="9"/>
      <c r="CH354" s="9"/>
      <c r="CI354" s="9"/>
      <c r="CJ354" s="9"/>
      <c r="CK354" s="9"/>
      <c r="CL354" s="9"/>
      <c r="CM354" s="9"/>
      <c r="CN354" s="9"/>
      <c r="CO354" s="9"/>
      <c r="CP354" s="9"/>
      <c r="CQ354" s="9"/>
      <c r="CR354" s="9"/>
      <c r="CS354" s="9"/>
      <c r="CT354" s="145"/>
      <c r="CU354" s="9"/>
      <c r="CV354" s="9"/>
      <c r="CW354" s="9"/>
      <c r="CX354" s="9"/>
      <c r="CY354" s="9"/>
      <c r="CZ354" s="9"/>
    </row>
    <row r="355" spans="2:104" ht="16">
      <c r="B355" s="14"/>
      <c r="C355" s="1662"/>
      <c r="D355" s="1661"/>
      <c r="E355" s="1679"/>
      <c r="F355" s="1214" t="s">
        <v>215</v>
      </c>
      <c r="G355" s="1213">
        <v>0</v>
      </c>
      <c r="H355" s="1213">
        <v>0.75</v>
      </c>
      <c r="I355" s="1213">
        <v>0.75</v>
      </c>
      <c r="J355" s="1213">
        <v>1</v>
      </c>
      <c r="K355" s="1213">
        <v>0.15</v>
      </c>
      <c r="L355" s="1213">
        <f>'[2]3.Hd'!$E$403</f>
        <v>1.6960999999999999</v>
      </c>
      <c r="M355" s="1213">
        <f t="shared" si="47"/>
        <v>1.08126375</v>
      </c>
      <c r="N355" s="145"/>
      <c r="O355" s="145"/>
      <c r="P355" s="145"/>
      <c r="Q355" s="1681"/>
      <c r="R355" s="1683"/>
      <c r="S355" s="1658" t="s">
        <v>914</v>
      </c>
      <c r="T355" s="1653" t="s">
        <v>24</v>
      </c>
      <c r="U355" s="89" t="s">
        <v>319</v>
      </c>
      <c r="V355" s="89" t="s">
        <v>320</v>
      </c>
      <c r="W355" s="89" t="s">
        <v>321</v>
      </c>
      <c r="X355" s="89" t="s">
        <v>322</v>
      </c>
      <c r="Y355" s="89" t="s">
        <v>323</v>
      </c>
      <c r="Z355" s="89" t="s">
        <v>324</v>
      </c>
      <c r="AA355" s="518" t="s">
        <v>311</v>
      </c>
      <c r="AB355" s="145"/>
      <c r="AH355" s="1670"/>
      <c r="AI355" s="1196" t="s">
        <v>210</v>
      </c>
      <c r="AJ355" s="1261">
        <f t="shared" si="49"/>
        <v>0.60048387096774192</v>
      </c>
      <c r="AK355" s="1261">
        <f t="shared" si="49"/>
        <v>0.75</v>
      </c>
      <c r="AL355" s="1261">
        <v>0.75</v>
      </c>
      <c r="AM355" s="1261">
        <v>1</v>
      </c>
      <c r="AN355" s="1261">
        <v>0.15</v>
      </c>
      <c r="AO355" s="1261">
        <f>'[2]3.Hd'!$E$403</f>
        <v>1.6960999999999999</v>
      </c>
      <c r="AP355" s="512">
        <f t="shared" si="48"/>
        <v>1.08126375</v>
      </c>
      <c r="AR355" s="1692"/>
      <c r="AS355" s="1262" t="s">
        <v>210</v>
      </c>
      <c r="AT355" s="1261">
        <f t="shared" si="50"/>
        <v>0.36499999999999999</v>
      </c>
      <c r="AU355" s="1261">
        <v>0.75</v>
      </c>
      <c r="AV355" s="1261">
        <v>0.75</v>
      </c>
      <c r="AW355" s="1261">
        <v>1</v>
      </c>
      <c r="AX355" s="1261">
        <v>0.15</v>
      </c>
      <c r="AY355" s="1261">
        <f>'3.Hd'!$E$251</f>
        <v>2.8375000000000004</v>
      </c>
      <c r="AZ355" s="512">
        <f t="shared" si="51"/>
        <v>1.8089062500000002</v>
      </c>
      <c r="CD355" s="9"/>
      <c r="CE355" s="9"/>
      <c r="CF355" s="145"/>
      <c r="CG355" s="9"/>
      <c r="CH355" s="9"/>
      <c r="CI355" s="9"/>
      <c r="CJ355" s="9"/>
      <c r="CK355" s="9"/>
      <c r="CL355" s="9"/>
      <c r="CM355" s="9"/>
      <c r="CN355" s="9"/>
      <c r="CO355" s="9"/>
      <c r="CP355" s="9"/>
      <c r="CQ355" s="9"/>
      <c r="CR355" s="9"/>
      <c r="CS355" s="9"/>
      <c r="CT355" s="145"/>
      <c r="CU355" s="9"/>
      <c r="CV355" s="9"/>
      <c r="CW355" s="9"/>
      <c r="CX355" s="9"/>
      <c r="CY355" s="9"/>
      <c r="CZ355" s="9"/>
    </row>
    <row r="356" spans="2:104" ht="72.75" customHeight="1">
      <c r="B356" s="14"/>
      <c r="C356" s="1662"/>
      <c r="D356" s="1661"/>
      <c r="E356" s="1672" t="s">
        <v>904</v>
      </c>
      <c r="F356" s="1653" t="s">
        <v>24</v>
      </c>
      <c r="G356" s="89" t="s">
        <v>319</v>
      </c>
      <c r="H356" s="89" t="s">
        <v>320</v>
      </c>
      <c r="I356" s="89" t="s">
        <v>321</v>
      </c>
      <c r="J356" s="89" t="s">
        <v>322</v>
      </c>
      <c r="K356" s="89" t="s">
        <v>323</v>
      </c>
      <c r="L356" s="89" t="s">
        <v>324</v>
      </c>
      <c r="M356" s="89" t="s">
        <v>311</v>
      </c>
      <c r="N356" s="380"/>
      <c r="O356" s="1219"/>
      <c r="P356" s="1219"/>
      <c r="Q356" s="1681"/>
      <c r="R356" s="1683"/>
      <c r="S356" s="1659"/>
      <c r="T356" s="1654"/>
      <c r="U356" s="115" t="s">
        <v>24</v>
      </c>
      <c r="V356" s="115" t="s">
        <v>24</v>
      </c>
      <c r="W356" s="115" t="s">
        <v>24</v>
      </c>
      <c r="X356" s="115" t="s">
        <v>24</v>
      </c>
      <c r="Y356" s="115" t="s">
        <v>24</v>
      </c>
      <c r="Z356" s="92" t="s">
        <v>32</v>
      </c>
      <c r="AA356" s="519" t="s">
        <v>32</v>
      </c>
      <c r="AB356" s="145"/>
      <c r="AH356" s="1670"/>
      <c r="AI356" s="1196" t="s">
        <v>211</v>
      </c>
      <c r="AJ356" s="1261">
        <f t="shared" si="49"/>
        <v>0.75789473684210529</v>
      </c>
      <c r="AK356" s="1261">
        <f t="shared" si="49"/>
        <v>0.75</v>
      </c>
      <c r="AL356" s="1261">
        <v>0.75</v>
      </c>
      <c r="AM356" s="1261">
        <v>1</v>
      </c>
      <c r="AN356" s="1261">
        <v>0.15</v>
      </c>
      <c r="AO356" s="1261">
        <f>'[2]3.Hd'!$E$403</f>
        <v>1.6960999999999999</v>
      </c>
      <c r="AP356" s="512">
        <f t="shared" si="48"/>
        <v>1.08126375</v>
      </c>
      <c r="AR356" s="1692"/>
      <c r="AS356" s="1262" t="s">
        <v>211</v>
      </c>
      <c r="AT356" s="1261">
        <f t="shared" si="50"/>
        <v>0.36</v>
      </c>
      <c r="AU356" s="1261">
        <v>0.75</v>
      </c>
      <c r="AV356" s="1261">
        <v>0.75</v>
      </c>
      <c r="AW356" s="1261">
        <v>1</v>
      </c>
      <c r="AX356" s="1261">
        <v>0.15</v>
      </c>
      <c r="AY356" s="1261">
        <f>'3.Hd'!$E$251</f>
        <v>2.8375000000000004</v>
      </c>
      <c r="AZ356" s="512">
        <f t="shared" si="51"/>
        <v>1.8089062500000002</v>
      </c>
      <c r="CD356" s="9"/>
      <c r="CE356" s="9"/>
      <c r="CF356" s="145"/>
      <c r="CG356" s="9"/>
      <c r="CH356" s="9"/>
      <c r="CI356" s="9"/>
      <c r="CJ356" s="9"/>
      <c r="CK356" s="9"/>
      <c r="CL356" s="9"/>
      <c r="CM356" s="9"/>
      <c r="CN356" s="9"/>
      <c r="CO356" s="9"/>
      <c r="CP356" s="9"/>
      <c r="CQ356" s="9"/>
      <c r="CR356" s="9"/>
      <c r="CS356" s="9"/>
      <c r="CT356" s="145"/>
      <c r="CU356" s="9"/>
      <c r="CV356" s="9"/>
      <c r="CW356" s="9"/>
      <c r="CX356" s="9"/>
      <c r="CY356" s="9"/>
      <c r="CZ356" s="9"/>
    </row>
    <row r="357" spans="2:104">
      <c r="B357" s="14"/>
      <c r="C357" s="1662"/>
      <c r="D357" s="1661"/>
      <c r="E357" s="1672"/>
      <c r="F357" s="1654"/>
      <c r="G357" s="115" t="s">
        <v>24</v>
      </c>
      <c r="H357" s="115" t="s">
        <v>24</v>
      </c>
      <c r="I357" s="115" t="s">
        <v>24</v>
      </c>
      <c r="J357" s="115" t="s">
        <v>24</v>
      </c>
      <c r="K357" s="115" t="s">
        <v>24</v>
      </c>
      <c r="L357" s="92" t="s">
        <v>32</v>
      </c>
      <c r="M357" s="92" t="s">
        <v>32</v>
      </c>
      <c r="N357" s="380"/>
      <c r="O357" s="1219"/>
      <c r="P357" s="1219"/>
      <c r="Q357" s="1681"/>
      <c r="R357" s="1683"/>
      <c r="S357" s="1659"/>
      <c r="T357" s="1199" t="s">
        <v>204</v>
      </c>
      <c r="U357" s="1198">
        <v>0.81</v>
      </c>
      <c r="V357" s="1198">
        <v>0.75</v>
      </c>
      <c r="W357" s="1198">
        <v>0.75</v>
      </c>
      <c r="X357" s="1198">
        <v>1</v>
      </c>
      <c r="Y357" s="1198">
        <v>0.1</v>
      </c>
      <c r="Z357" s="1198">
        <f>'[2]3.Hd'!$E$404</f>
        <v>2.2075</v>
      </c>
      <c r="AA357" s="512">
        <f t="shared" ref="AA357:AA368" si="52">X357*V357*(1-Y357)*Z357</f>
        <v>1.4900625000000001</v>
      </c>
      <c r="AB357" s="145"/>
      <c r="AH357" s="1670"/>
      <c r="AI357" s="1196" t="s">
        <v>212</v>
      </c>
      <c r="AJ357" s="1261">
        <f t="shared" si="49"/>
        <v>0.79256097560975602</v>
      </c>
      <c r="AK357" s="1261">
        <f t="shared" si="49"/>
        <v>0.75</v>
      </c>
      <c r="AL357" s="1261">
        <v>0.75</v>
      </c>
      <c r="AM357" s="1261">
        <v>1</v>
      </c>
      <c r="AN357" s="1261">
        <v>0.15</v>
      </c>
      <c r="AO357" s="1261">
        <f>'[2]3.Hd'!$E$403</f>
        <v>1.6960999999999999</v>
      </c>
      <c r="AP357" s="512">
        <f t="shared" si="48"/>
        <v>1.08126375</v>
      </c>
      <c r="AR357" s="1692"/>
      <c r="AS357" s="1262" t="s">
        <v>212</v>
      </c>
      <c r="AT357" s="1261">
        <f t="shared" si="50"/>
        <v>0.33500000000000002</v>
      </c>
      <c r="AU357" s="1261">
        <v>0.75</v>
      </c>
      <c r="AV357" s="1261">
        <v>0.75</v>
      </c>
      <c r="AW357" s="1261">
        <v>1</v>
      </c>
      <c r="AX357" s="1261">
        <v>0.15</v>
      </c>
      <c r="AY357" s="1261">
        <f>'3.Hd'!$E$251</f>
        <v>2.8375000000000004</v>
      </c>
      <c r="AZ357" s="512">
        <f t="shared" si="51"/>
        <v>1.8089062500000002</v>
      </c>
      <c r="CD357" s="9"/>
      <c r="CE357" s="9"/>
      <c r="CF357" s="145"/>
      <c r="CG357" s="9"/>
      <c r="CH357" s="9"/>
      <c r="CI357" s="9"/>
      <c r="CJ357" s="9"/>
      <c r="CK357" s="9"/>
      <c r="CL357" s="9"/>
      <c r="CM357" s="9"/>
      <c r="CN357" s="9"/>
      <c r="CO357" s="9"/>
      <c r="CP357" s="9"/>
      <c r="CQ357" s="9"/>
      <c r="CR357" s="9"/>
      <c r="CS357" s="9"/>
      <c r="CT357" s="145"/>
      <c r="CU357" s="9"/>
      <c r="CV357" s="9"/>
      <c r="CW357" s="9"/>
      <c r="CX357" s="9"/>
      <c r="CY357" s="9"/>
      <c r="CZ357" s="9"/>
    </row>
    <row r="358" spans="2:104">
      <c r="B358" s="14"/>
      <c r="C358" s="1662"/>
      <c r="D358" s="1661"/>
      <c r="E358" s="1672"/>
      <c r="F358" s="1214" t="s">
        <v>204</v>
      </c>
      <c r="G358" s="1213">
        <v>0</v>
      </c>
      <c r="H358" s="1213">
        <v>0.75</v>
      </c>
      <c r="I358" s="1213">
        <v>0.75</v>
      </c>
      <c r="J358" s="1213">
        <v>1</v>
      </c>
      <c r="K358" s="1213">
        <v>0.15</v>
      </c>
      <c r="L358" s="1213">
        <f>'[2]3.Hd'!$E$403</f>
        <v>1.6960999999999999</v>
      </c>
      <c r="M358" s="1213">
        <f t="shared" ref="M358:M369" si="53">J358*H358*(1-K358)*L358</f>
        <v>1.08126375</v>
      </c>
      <c r="N358" s="17"/>
      <c r="O358" s="380"/>
      <c r="P358" s="380"/>
      <c r="Q358" s="1681"/>
      <c r="R358" s="1683"/>
      <c r="S358" s="1659"/>
      <c r="T358" s="1199" t="s">
        <v>205</v>
      </c>
      <c r="U358" s="1198">
        <v>0.82</v>
      </c>
      <c r="V358" s="1198">
        <v>0.75</v>
      </c>
      <c r="W358" s="1198">
        <v>0.75</v>
      </c>
      <c r="X358" s="1198">
        <v>1</v>
      </c>
      <c r="Y358" s="1198">
        <v>0.1</v>
      </c>
      <c r="Z358" s="1198">
        <f>'[2]3.Hd'!$E$404</f>
        <v>2.2075</v>
      </c>
      <c r="AA358" s="512">
        <f t="shared" si="52"/>
        <v>1.4900625000000001</v>
      </c>
      <c r="AB358" s="145"/>
      <c r="AH358" s="1670"/>
      <c r="AI358" s="1196" t="s">
        <v>213</v>
      </c>
      <c r="AJ358" s="1261">
        <f t="shared" si="49"/>
        <v>0.78139534883720929</v>
      </c>
      <c r="AK358" s="1261">
        <f t="shared" si="49"/>
        <v>0.75</v>
      </c>
      <c r="AL358" s="1261">
        <v>0.75</v>
      </c>
      <c r="AM358" s="1261">
        <v>1</v>
      </c>
      <c r="AN358" s="1261">
        <v>0.15</v>
      </c>
      <c r="AO358" s="1261">
        <f>'[2]3.Hd'!$E$403</f>
        <v>1.6960999999999999</v>
      </c>
      <c r="AP358" s="512">
        <f t="shared" si="48"/>
        <v>1.08126375</v>
      </c>
      <c r="AR358" s="1692"/>
      <c r="AS358" s="1262" t="s">
        <v>213</v>
      </c>
      <c r="AT358" s="1261">
        <f t="shared" si="50"/>
        <v>0.3</v>
      </c>
      <c r="AU358" s="1261">
        <v>0.75</v>
      </c>
      <c r="AV358" s="1261">
        <v>0.75</v>
      </c>
      <c r="AW358" s="1261">
        <v>1</v>
      </c>
      <c r="AX358" s="1261">
        <v>0.15</v>
      </c>
      <c r="AY358" s="1261">
        <f>'3.Hd'!$E$251</f>
        <v>2.8375000000000004</v>
      </c>
      <c r="AZ358" s="512">
        <f t="shared" si="51"/>
        <v>1.8089062500000002</v>
      </c>
      <c r="CD358" s="9"/>
      <c r="CE358" s="9"/>
      <c r="CF358" s="145"/>
      <c r="CG358" s="9"/>
      <c r="CH358" s="9"/>
      <c r="CI358" s="9"/>
      <c r="CJ358" s="9"/>
      <c r="CK358" s="9"/>
      <c r="CL358" s="9"/>
      <c r="CM358" s="9"/>
      <c r="CN358" s="9"/>
      <c r="CO358" s="9"/>
      <c r="CP358" s="9"/>
      <c r="CQ358" s="9"/>
      <c r="CR358" s="9"/>
      <c r="CS358" s="9"/>
      <c r="CT358" s="145"/>
      <c r="CU358" s="9"/>
      <c r="CV358" s="9"/>
      <c r="CW358" s="9"/>
      <c r="CX358" s="9"/>
      <c r="CY358" s="9"/>
      <c r="CZ358" s="9"/>
    </row>
    <row r="359" spans="2:104">
      <c r="B359" s="14"/>
      <c r="C359" s="1662"/>
      <c r="D359" s="1661"/>
      <c r="E359" s="1672"/>
      <c r="F359" s="1214" t="s">
        <v>205</v>
      </c>
      <c r="G359" s="1213">
        <v>0</v>
      </c>
      <c r="H359" s="1213">
        <v>0.75</v>
      </c>
      <c r="I359" s="1213">
        <v>0.75</v>
      </c>
      <c r="J359" s="1213">
        <v>1</v>
      </c>
      <c r="K359" s="1213">
        <v>0.15</v>
      </c>
      <c r="L359" s="1213">
        <f>'[2]3.Hd'!$E$403</f>
        <v>1.6960999999999999</v>
      </c>
      <c r="M359" s="1213">
        <f t="shared" si="53"/>
        <v>1.08126375</v>
      </c>
      <c r="N359" s="17"/>
      <c r="O359" s="145"/>
      <c r="P359" s="145"/>
      <c r="Q359" s="1681"/>
      <c r="R359" s="1683"/>
      <c r="S359" s="1659"/>
      <c r="T359" s="1199" t="s">
        <v>206</v>
      </c>
      <c r="U359" s="1198">
        <v>0.81</v>
      </c>
      <c r="V359" s="1198">
        <v>0.75</v>
      </c>
      <c r="W359" s="1198">
        <v>0.75</v>
      </c>
      <c r="X359" s="1198">
        <v>1</v>
      </c>
      <c r="Y359" s="1198">
        <v>0.1</v>
      </c>
      <c r="Z359" s="1198">
        <f>'[2]3.Hd'!$E$404</f>
        <v>2.2075</v>
      </c>
      <c r="AA359" s="512">
        <f t="shared" si="52"/>
        <v>1.4900625000000001</v>
      </c>
      <c r="AB359" s="145"/>
      <c r="AH359" s="1670"/>
      <c r="AI359" s="1196" t="s">
        <v>214</v>
      </c>
      <c r="AJ359" s="1261">
        <f t="shared" si="49"/>
        <v>0.49285714285714288</v>
      </c>
      <c r="AK359" s="1261">
        <f t="shared" si="49"/>
        <v>0.75</v>
      </c>
      <c r="AL359" s="1261">
        <v>0.75</v>
      </c>
      <c r="AM359" s="1261">
        <v>0.99999999999999989</v>
      </c>
      <c r="AN359" s="1261">
        <v>0.15</v>
      </c>
      <c r="AO359" s="1261">
        <f>'[2]3.Hd'!$E$403</f>
        <v>1.6960999999999999</v>
      </c>
      <c r="AP359" s="512">
        <f t="shared" si="48"/>
        <v>1.0812637499999997</v>
      </c>
      <c r="AR359" s="1692"/>
      <c r="AS359" s="1262" t="s">
        <v>214</v>
      </c>
      <c r="AT359" s="1261">
        <f t="shared" si="50"/>
        <v>0.15</v>
      </c>
      <c r="AU359" s="1261">
        <v>0.75</v>
      </c>
      <c r="AV359" s="1261">
        <v>0.75</v>
      </c>
      <c r="AW359" s="1261">
        <v>0.99999999999999989</v>
      </c>
      <c r="AX359" s="1261">
        <v>0.15</v>
      </c>
      <c r="AY359" s="1261">
        <f>'3.Hd'!$E$251</f>
        <v>2.8375000000000004</v>
      </c>
      <c r="AZ359" s="512">
        <f t="shared" si="51"/>
        <v>1.8089062499999997</v>
      </c>
      <c r="CD359" s="9"/>
      <c r="CE359" s="9"/>
      <c r="CF359" s="145"/>
      <c r="CG359" s="9"/>
      <c r="CH359" s="9"/>
      <c r="CI359" s="9"/>
      <c r="CJ359" s="9"/>
      <c r="CK359" s="9"/>
      <c r="CL359" s="9"/>
      <c r="CM359" s="9"/>
      <c r="CN359" s="9"/>
      <c r="CO359" s="9"/>
      <c r="CP359" s="9"/>
      <c r="CQ359" s="9"/>
      <c r="CR359" s="9"/>
      <c r="CS359" s="9"/>
      <c r="CT359" s="145"/>
      <c r="CU359" s="9"/>
      <c r="CV359" s="9"/>
      <c r="CW359" s="9"/>
      <c r="CX359" s="9"/>
      <c r="CY359" s="9"/>
      <c r="CZ359" s="9"/>
    </row>
    <row r="360" spans="2:104">
      <c r="B360" s="14"/>
      <c r="C360" s="1662"/>
      <c r="D360" s="1661"/>
      <c r="E360" s="1672"/>
      <c r="F360" s="1214" t="s">
        <v>206</v>
      </c>
      <c r="G360" s="1213">
        <v>0</v>
      </c>
      <c r="H360" s="1213">
        <v>0.75</v>
      </c>
      <c r="I360" s="1213">
        <v>0.75</v>
      </c>
      <c r="J360" s="1213">
        <v>1</v>
      </c>
      <c r="K360" s="1213">
        <v>0.15</v>
      </c>
      <c r="L360" s="1213">
        <f>'[2]3.Hd'!$E$403</f>
        <v>1.6960999999999999</v>
      </c>
      <c r="M360" s="1213">
        <f t="shared" si="53"/>
        <v>1.08126375</v>
      </c>
      <c r="N360" s="145"/>
      <c r="O360" s="145"/>
      <c r="P360" s="145"/>
      <c r="Q360" s="1681"/>
      <c r="R360" s="1683"/>
      <c r="S360" s="1659"/>
      <c r="T360" s="1199" t="s">
        <v>207</v>
      </c>
      <c r="U360" s="1198">
        <v>0.74</v>
      </c>
      <c r="V360" s="1198">
        <v>0.75</v>
      </c>
      <c r="W360" s="1198">
        <v>0.75</v>
      </c>
      <c r="X360" s="1198">
        <v>1</v>
      </c>
      <c r="Y360" s="1198">
        <v>0.1</v>
      </c>
      <c r="Z360" s="1198">
        <f>'[2]3.Hd'!$E$404</f>
        <v>2.2075</v>
      </c>
      <c r="AA360" s="512">
        <f t="shared" si="52"/>
        <v>1.4900625000000001</v>
      </c>
      <c r="AB360" s="145"/>
      <c r="AH360" s="1671"/>
      <c r="AI360" s="1196" t="s">
        <v>215</v>
      </c>
      <c r="AJ360" s="1261">
        <f t="shared" si="49"/>
        <v>0.63488372093023249</v>
      </c>
      <c r="AK360" s="1261">
        <f t="shared" si="49"/>
        <v>0.75</v>
      </c>
      <c r="AL360" s="1261">
        <v>0.75</v>
      </c>
      <c r="AM360" s="1261">
        <v>1</v>
      </c>
      <c r="AN360" s="1261">
        <v>0.15</v>
      </c>
      <c r="AO360" s="1261">
        <f>'[2]3.Hd'!$E$403</f>
        <v>1.6960999999999999</v>
      </c>
      <c r="AP360" s="512">
        <f t="shared" si="48"/>
        <v>1.08126375</v>
      </c>
      <c r="AR360" s="1693"/>
      <c r="AS360" s="1262" t="s">
        <v>215</v>
      </c>
      <c r="AT360" s="1261">
        <f t="shared" si="50"/>
        <v>0.21</v>
      </c>
      <c r="AU360" s="1261">
        <v>0.75</v>
      </c>
      <c r="AV360" s="1261">
        <v>0.75</v>
      </c>
      <c r="AW360" s="1261">
        <v>1</v>
      </c>
      <c r="AX360" s="1261">
        <v>0.15</v>
      </c>
      <c r="AY360" s="1261">
        <f>'3.Hd'!$E$251</f>
        <v>2.8375000000000004</v>
      </c>
      <c r="AZ360" s="512">
        <f t="shared" si="51"/>
        <v>1.8089062500000002</v>
      </c>
      <c r="CD360" s="9"/>
      <c r="CE360" s="9"/>
      <c r="CF360" s="145"/>
      <c r="CG360" s="9"/>
      <c r="CH360" s="9"/>
      <c r="CI360" s="9"/>
      <c r="CJ360" s="9"/>
      <c r="CK360" s="9"/>
      <c r="CL360" s="9"/>
      <c r="CM360" s="9"/>
      <c r="CN360" s="9"/>
      <c r="CO360" s="9"/>
      <c r="CP360" s="9"/>
      <c r="CQ360" s="9"/>
      <c r="CR360" s="9"/>
      <c r="CS360" s="9"/>
      <c r="CT360" s="145"/>
      <c r="CU360" s="9"/>
      <c r="CV360" s="9"/>
      <c r="CW360" s="9"/>
      <c r="CX360" s="9"/>
      <c r="CY360" s="9"/>
      <c r="CZ360" s="9"/>
    </row>
    <row r="361" spans="2:104" ht="25">
      <c r="B361" s="14"/>
      <c r="C361" s="1662"/>
      <c r="D361" s="1661"/>
      <c r="E361" s="1672"/>
      <c r="F361" s="1214" t="s">
        <v>207</v>
      </c>
      <c r="G361" s="1213">
        <v>0</v>
      </c>
      <c r="H361" s="1213">
        <v>0.75</v>
      </c>
      <c r="I361" s="1213">
        <v>0.75</v>
      </c>
      <c r="J361" s="1213">
        <v>1</v>
      </c>
      <c r="K361" s="1213">
        <v>0.15</v>
      </c>
      <c r="L361" s="1213">
        <f>'[2]3.Hd'!$E$403</f>
        <v>1.6960999999999999</v>
      </c>
      <c r="M361" s="1213">
        <f t="shared" si="53"/>
        <v>1.08126375</v>
      </c>
      <c r="N361" s="145"/>
      <c r="O361" s="145"/>
      <c r="P361" s="145"/>
      <c r="Q361" s="1681"/>
      <c r="R361" s="1683"/>
      <c r="S361" s="1659"/>
      <c r="T361" s="1199" t="s">
        <v>208</v>
      </c>
      <c r="U361" s="1198">
        <v>0.62</v>
      </c>
      <c r="V361" s="1198">
        <v>0.75</v>
      </c>
      <c r="W361" s="1198">
        <v>0.75</v>
      </c>
      <c r="X361" s="1198">
        <v>1</v>
      </c>
      <c r="Y361" s="1198">
        <v>0.1</v>
      </c>
      <c r="Z361" s="1198">
        <f>'[2]3.Hd'!$E$404</f>
        <v>2.2075</v>
      </c>
      <c r="AA361" s="512">
        <f t="shared" si="52"/>
        <v>1.4900625000000001</v>
      </c>
      <c r="AB361" s="145"/>
      <c r="AC361" s="145"/>
      <c r="AD361" s="145"/>
      <c r="AE361" s="145"/>
      <c r="AF361" s="17"/>
      <c r="AG361" s="41"/>
      <c r="AJ361" s="1274" t="s">
        <v>956</v>
      </c>
      <c r="AT361" s="1201"/>
      <c r="AU361" s="1205"/>
      <c r="AV361" s="1206"/>
      <c r="AW361" s="145"/>
      <c r="AX361" s="145"/>
      <c r="AY361" s="145"/>
      <c r="AZ361" s="145"/>
      <c r="CD361" s="9"/>
      <c r="CE361" s="9"/>
      <c r="CF361" s="145"/>
      <c r="CG361" s="9"/>
      <c r="CH361" s="9"/>
      <c r="CI361" s="9"/>
      <c r="CJ361" s="9"/>
      <c r="CK361" s="9"/>
      <c r="CL361" s="9"/>
      <c r="CM361" s="9"/>
      <c r="CN361" s="9"/>
      <c r="CO361" s="9"/>
      <c r="CP361" s="9"/>
      <c r="CQ361" s="9"/>
      <c r="CR361" s="9"/>
      <c r="CS361" s="9"/>
      <c r="CT361" s="145"/>
      <c r="CU361" s="9"/>
      <c r="CV361" s="9"/>
      <c r="CW361" s="9"/>
      <c r="CX361" s="9"/>
      <c r="CY361" s="9"/>
      <c r="CZ361" s="9"/>
    </row>
    <row r="362" spans="2:104">
      <c r="B362" s="14"/>
      <c r="C362" s="1662"/>
      <c r="D362" s="1661"/>
      <c r="E362" s="1672"/>
      <c r="F362" s="1214" t="s">
        <v>208</v>
      </c>
      <c r="G362" s="1213">
        <v>0</v>
      </c>
      <c r="H362" s="1213">
        <v>0.75</v>
      </c>
      <c r="I362" s="1213">
        <v>0.75</v>
      </c>
      <c r="J362" s="1213">
        <v>1</v>
      </c>
      <c r="K362" s="1213">
        <v>0.15</v>
      </c>
      <c r="L362" s="1213">
        <f>'[2]3.Hd'!$E$403</f>
        <v>1.6960999999999999</v>
      </c>
      <c r="M362" s="1213">
        <f t="shared" si="53"/>
        <v>1.08126375</v>
      </c>
      <c r="N362" s="145"/>
      <c r="O362" s="145"/>
      <c r="P362" s="145"/>
      <c r="Q362" s="1681"/>
      <c r="R362" s="1683"/>
      <c r="S362" s="1659"/>
      <c r="T362" s="1199" t="s">
        <v>209</v>
      </c>
      <c r="U362" s="1198">
        <v>0.56000000000000005</v>
      </c>
      <c r="V362" s="1198">
        <v>0.75</v>
      </c>
      <c r="W362" s="1198">
        <v>0.75</v>
      </c>
      <c r="X362" s="1198">
        <v>1</v>
      </c>
      <c r="Y362" s="1198">
        <v>0.1</v>
      </c>
      <c r="Z362" s="1198">
        <f>'[2]3.Hd'!$E$404</f>
        <v>2.2075</v>
      </c>
      <c r="AA362" s="512">
        <f t="shared" si="52"/>
        <v>1.4900625000000001</v>
      </c>
      <c r="AB362" s="145"/>
      <c r="AC362" s="145"/>
      <c r="AD362" s="145"/>
      <c r="AE362" s="145"/>
      <c r="AF362" s="17"/>
      <c r="AG362" s="41"/>
      <c r="CD362" s="9"/>
      <c r="CE362" s="9"/>
      <c r="CF362" s="145"/>
      <c r="CG362" s="9"/>
      <c r="CH362" s="9"/>
      <c r="CI362" s="9"/>
      <c r="CJ362" s="9"/>
      <c r="CK362" s="9"/>
      <c r="CL362" s="9"/>
      <c r="CM362" s="9"/>
      <c r="CN362" s="9"/>
      <c r="CO362" s="9"/>
      <c r="CP362" s="9"/>
      <c r="CQ362" s="9"/>
      <c r="CR362" s="9"/>
      <c r="CS362" s="9"/>
      <c r="CT362" s="145"/>
      <c r="CU362" s="9"/>
      <c r="CV362" s="9"/>
      <c r="CW362" s="9"/>
      <c r="CX362" s="9"/>
      <c r="CY362" s="9"/>
      <c r="CZ362" s="9"/>
    </row>
    <row r="363" spans="2:104">
      <c r="B363" s="14"/>
      <c r="C363" s="1662"/>
      <c r="D363" s="1661"/>
      <c r="E363" s="1672"/>
      <c r="F363" s="1214" t="s">
        <v>209</v>
      </c>
      <c r="G363" s="1213">
        <v>0</v>
      </c>
      <c r="H363" s="1213">
        <v>0.75</v>
      </c>
      <c r="I363" s="1213">
        <v>0.75</v>
      </c>
      <c r="J363" s="1213">
        <v>1</v>
      </c>
      <c r="K363" s="1213">
        <v>0.15</v>
      </c>
      <c r="L363" s="1213">
        <f>'[2]3.Hd'!$E$403</f>
        <v>1.6960999999999999</v>
      </c>
      <c r="M363" s="1213">
        <f t="shared" si="53"/>
        <v>1.08126375</v>
      </c>
      <c r="N363" s="145"/>
      <c r="O363" s="145"/>
      <c r="P363" s="145"/>
      <c r="Q363" s="1681"/>
      <c r="R363" s="1683"/>
      <c r="S363" s="1659"/>
      <c r="T363" s="1199" t="s">
        <v>210</v>
      </c>
      <c r="U363" s="1198">
        <v>0.62</v>
      </c>
      <c r="V363" s="1198">
        <v>0.75</v>
      </c>
      <c r="W363" s="1198">
        <v>0.75</v>
      </c>
      <c r="X363" s="1198">
        <v>1</v>
      </c>
      <c r="Y363" s="1198">
        <v>0.1</v>
      </c>
      <c r="Z363" s="1198">
        <f>'[2]3.Hd'!$E$404</f>
        <v>2.2075</v>
      </c>
      <c r="AA363" s="512">
        <f t="shared" si="52"/>
        <v>1.4900625000000001</v>
      </c>
      <c r="AB363" s="145"/>
      <c r="AC363" s="145"/>
      <c r="AD363" s="145"/>
      <c r="AE363" s="145"/>
      <c r="AF363" s="17"/>
      <c r="AG363" s="41"/>
      <c r="CD363" s="9"/>
      <c r="CE363" s="9"/>
      <c r="CF363" s="145"/>
      <c r="CG363" s="9"/>
      <c r="CH363" s="9"/>
      <c r="CI363" s="9"/>
      <c r="CJ363" s="9"/>
      <c r="CK363" s="9"/>
      <c r="CL363" s="9"/>
      <c r="CM363" s="9"/>
      <c r="CN363" s="9"/>
      <c r="CO363" s="9"/>
      <c r="CP363" s="9"/>
      <c r="CQ363" s="9"/>
      <c r="CR363" s="9"/>
      <c r="CS363" s="9"/>
      <c r="CT363" s="145"/>
      <c r="CU363" s="9"/>
      <c r="CV363" s="9"/>
      <c r="CW363" s="9"/>
      <c r="CX363" s="9"/>
      <c r="CY363" s="9"/>
      <c r="CZ363" s="9"/>
    </row>
    <row r="364" spans="2:104">
      <c r="B364" s="14"/>
      <c r="C364" s="1662"/>
      <c r="D364" s="1661"/>
      <c r="E364" s="1672"/>
      <c r="F364" s="1214" t="s">
        <v>210</v>
      </c>
      <c r="G364" s="1213">
        <v>0</v>
      </c>
      <c r="H364" s="1213">
        <v>0.75</v>
      </c>
      <c r="I364" s="1213">
        <v>0.75</v>
      </c>
      <c r="J364" s="1213">
        <v>1</v>
      </c>
      <c r="K364" s="1213">
        <v>0.15</v>
      </c>
      <c r="L364" s="1213">
        <f>'[2]3.Hd'!$E$403</f>
        <v>1.6960999999999999</v>
      </c>
      <c r="M364" s="1213">
        <f t="shared" si="53"/>
        <v>1.08126375</v>
      </c>
      <c r="N364" s="145"/>
      <c r="O364" s="145"/>
      <c r="P364" s="145"/>
      <c r="Q364" s="1681"/>
      <c r="R364" s="1683"/>
      <c r="S364" s="1659"/>
      <c r="T364" s="1199" t="s">
        <v>211</v>
      </c>
      <c r="U364" s="1198">
        <v>0.76</v>
      </c>
      <c r="V364" s="1198">
        <v>0.75</v>
      </c>
      <c r="W364" s="1198">
        <v>0.75</v>
      </c>
      <c r="X364" s="1198">
        <v>1</v>
      </c>
      <c r="Y364" s="1198">
        <v>0.1</v>
      </c>
      <c r="Z364" s="1198">
        <f>'[2]3.Hd'!$E$404</f>
        <v>2.2075</v>
      </c>
      <c r="AA364" s="512">
        <f t="shared" si="52"/>
        <v>1.4900625000000001</v>
      </c>
      <c r="AB364" s="145"/>
      <c r="AC364" s="145"/>
      <c r="AD364" s="145"/>
      <c r="AE364" s="145"/>
      <c r="AF364" s="17"/>
      <c r="AG364" s="41"/>
      <c r="CD364" s="9"/>
      <c r="CE364" s="9"/>
      <c r="CF364" s="145"/>
      <c r="CG364" s="9"/>
      <c r="CH364" s="9"/>
      <c r="CI364" s="9"/>
      <c r="CJ364" s="9"/>
      <c r="CK364" s="9"/>
      <c r="CL364" s="9"/>
      <c r="CM364" s="9"/>
      <c r="CN364" s="9"/>
      <c r="CO364" s="9"/>
      <c r="CP364" s="9"/>
      <c r="CQ364" s="9"/>
      <c r="CR364" s="9"/>
      <c r="CS364" s="9"/>
      <c r="CT364" s="145"/>
      <c r="CU364" s="9"/>
      <c r="CV364" s="9"/>
      <c r="CW364" s="9"/>
      <c r="CX364" s="9"/>
      <c r="CY364" s="9"/>
      <c r="CZ364" s="9"/>
    </row>
    <row r="365" spans="2:104" ht="15" customHeight="1">
      <c r="B365" s="14"/>
      <c r="C365" s="1662"/>
      <c r="D365" s="1661"/>
      <c r="E365" s="1672"/>
      <c r="F365" s="1214" t="s">
        <v>211</v>
      </c>
      <c r="G365" s="1213">
        <v>0</v>
      </c>
      <c r="H365" s="1213">
        <v>0.75</v>
      </c>
      <c r="I365" s="1213">
        <v>0.75</v>
      </c>
      <c r="J365" s="1213">
        <v>1</v>
      </c>
      <c r="K365" s="1213">
        <v>0.15</v>
      </c>
      <c r="L365" s="1213">
        <f>'[2]3.Hd'!$E$403</f>
        <v>1.6960999999999999</v>
      </c>
      <c r="M365" s="1213">
        <f t="shared" si="53"/>
        <v>1.08126375</v>
      </c>
      <c r="N365" s="145"/>
      <c r="O365" s="145"/>
      <c r="P365" s="145"/>
      <c r="Q365" s="1681"/>
      <c r="R365" s="1683"/>
      <c r="S365" s="1659"/>
      <c r="T365" s="1199" t="s">
        <v>212</v>
      </c>
      <c r="U365" s="1198">
        <v>0.82</v>
      </c>
      <c r="V365" s="1198">
        <v>0.75</v>
      </c>
      <c r="W365" s="1198">
        <v>0.75</v>
      </c>
      <c r="X365" s="1198">
        <v>1</v>
      </c>
      <c r="Y365" s="1198">
        <v>0.1</v>
      </c>
      <c r="Z365" s="1198">
        <f>'[2]3.Hd'!$E$404</f>
        <v>2.2075</v>
      </c>
      <c r="AA365" s="512">
        <f t="shared" si="52"/>
        <v>1.4900625000000001</v>
      </c>
      <c r="AB365" s="380"/>
      <c r="AC365" s="380"/>
      <c r="AD365" s="380"/>
      <c r="AE365" s="380"/>
      <c r="AF365" s="41"/>
      <c r="AG365" s="41"/>
      <c r="CD365" s="9"/>
      <c r="CE365" s="9"/>
      <c r="CF365" s="145"/>
      <c r="CG365" s="9"/>
      <c r="CH365" s="9"/>
      <c r="CI365" s="9"/>
      <c r="CJ365" s="9"/>
      <c r="CK365" s="9"/>
      <c r="CL365" s="9"/>
      <c r="CM365" s="9"/>
      <c r="CN365" s="9"/>
      <c r="CO365" s="9"/>
      <c r="CP365" s="9"/>
      <c r="CQ365" s="9"/>
      <c r="CR365" s="9"/>
      <c r="CS365" s="9"/>
      <c r="CT365" s="145"/>
      <c r="CU365" s="9"/>
      <c r="CV365" s="9"/>
      <c r="CW365" s="9"/>
      <c r="CX365" s="9"/>
      <c r="CY365" s="9"/>
      <c r="CZ365" s="9"/>
    </row>
    <row r="366" spans="2:104" ht="15" customHeight="1">
      <c r="B366" s="14"/>
      <c r="C366" s="1662"/>
      <c r="D366" s="1661"/>
      <c r="E366" s="1672"/>
      <c r="F366" s="1214" t="s">
        <v>212</v>
      </c>
      <c r="G366" s="1213">
        <v>0</v>
      </c>
      <c r="H366" s="1213">
        <v>0.75</v>
      </c>
      <c r="I366" s="1213">
        <v>0.75</v>
      </c>
      <c r="J366" s="1213">
        <v>1</v>
      </c>
      <c r="K366" s="1213">
        <v>0.15</v>
      </c>
      <c r="L366" s="1213">
        <f>'[2]3.Hd'!$E$403</f>
        <v>1.6960999999999999</v>
      </c>
      <c r="M366" s="1213">
        <f t="shared" si="53"/>
        <v>1.08126375</v>
      </c>
      <c r="N366" s="145"/>
      <c r="O366" s="145"/>
      <c r="P366" s="145"/>
      <c r="Q366" s="1681"/>
      <c r="R366" s="1683"/>
      <c r="S366" s="1659"/>
      <c r="T366" s="1199" t="s">
        <v>213</v>
      </c>
      <c r="U366" s="1198">
        <v>0.86</v>
      </c>
      <c r="V366" s="1198">
        <v>0.75</v>
      </c>
      <c r="W366" s="1198">
        <v>0.75</v>
      </c>
      <c r="X366" s="1198">
        <v>1</v>
      </c>
      <c r="Y366" s="1198">
        <v>0.1</v>
      </c>
      <c r="Z366" s="1198">
        <f>'[2]3.Hd'!$E$404</f>
        <v>2.2075</v>
      </c>
      <c r="AA366" s="512">
        <f t="shared" si="52"/>
        <v>1.4900625000000001</v>
      </c>
      <c r="AB366" s="145"/>
      <c r="AC366" s="145"/>
      <c r="AD366" s="34"/>
      <c r="AE366" s="34"/>
      <c r="AF366" s="41"/>
      <c r="AG366" s="41"/>
      <c r="CD366" s="9"/>
      <c r="CE366" s="9"/>
      <c r="CF366" s="380"/>
      <c r="CG366" s="9"/>
      <c r="CH366" s="9"/>
      <c r="CI366" s="9"/>
      <c r="CJ366" s="9"/>
      <c r="CK366" s="9"/>
      <c r="CL366" s="9"/>
      <c r="CM366" s="9"/>
      <c r="CN366" s="9"/>
      <c r="CO366" s="9"/>
      <c r="CP366" s="9"/>
      <c r="CQ366" s="9"/>
      <c r="CR366" s="9"/>
      <c r="CS366" s="9"/>
      <c r="CT366" s="380"/>
      <c r="CU366" s="9"/>
      <c r="CV366" s="9"/>
      <c r="CW366" s="9"/>
      <c r="CX366" s="9"/>
      <c r="CY366" s="9"/>
      <c r="CZ366" s="9"/>
    </row>
    <row r="367" spans="2:104">
      <c r="B367" s="14"/>
      <c r="C367" s="1662"/>
      <c r="D367" s="1661"/>
      <c r="E367" s="1672"/>
      <c r="F367" s="1214" t="s">
        <v>213</v>
      </c>
      <c r="G367" s="1213">
        <v>0</v>
      </c>
      <c r="H367" s="1213">
        <v>0.75</v>
      </c>
      <c r="I367" s="1213">
        <v>0.75</v>
      </c>
      <c r="J367" s="1213">
        <v>1</v>
      </c>
      <c r="K367" s="1213">
        <v>0.15</v>
      </c>
      <c r="L367" s="1213">
        <f>'[2]3.Hd'!$E$403</f>
        <v>1.6960999999999999</v>
      </c>
      <c r="M367" s="1213">
        <f t="shared" si="53"/>
        <v>1.08126375</v>
      </c>
      <c r="N367" s="145"/>
      <c r="O367" s="145"/>
      <c r="P367" s="145"/>
      <c r="Q367" s="1681"/>
      <c r="R367" s="1683"/>
      <c r="S367" s="1659"/>
      <c r="T367" s="1199" t="s">
        <v>214</v>
      </c>
      <c r="U367" s="1198">
        <v>0.84</v>
      </c>
      <c r="V367" s="1198">
        <v>0.75</v>
      </c>
      <c r="W367" s="1198">
        <v>0.75</v>
      </c>
      <c r="X367" s="1198">
        <v>1</v>
      </c>
      <c r="Y367" s="1198">
        <v>0.1</v>
      </c>
      <c r="Z367" s="1198">
        <f>'[2]3.Hd'!$E$404</f>
        <v>2.2075</v>
      </c>
      <c r="AA367" s="512">
        <f t="shared" si="52"/>
        <v>1.4900625000000001</v>
      </c>
      <c r="AB367" s="145"/>
      <c r="AC367" s="145"/>
      <c r="AD367" s="145"/>
      <c r="AE367" s="145"/>
      <c r="AF367" s="41"/>
      <c r="AG367" s="41"/>
      <c r="BH367" s="1201"/>
      <c r="BI367" s="1205"/>
      <c r="BJ367" s="1206"/>
      <c r="BK367" s="18"/>
      <c r="BL367" s="145"/>
      <c r="BM367" s="145"/>
      <c r="BN367" s="145"/>
      <c r="BO367" s="145"/>
      <c r="BP367" s="145"/>
      <c r="BQ367" s="34"/>
      <c r="BR367" s="34"/>
      <c r="BS367" s="14"/>
      <c r="BT367" s="1201"/>
      <c r="CD367" s="9"/>
      <c r="CE367" s="9"/>
      <c r="CF367" s="145"/>
      <c r="CG367" s="9"/>
      <c r="CH367" s="9"/>
      <c r="CI367" s="9"/>
      <c r="CJ367" s="9"/>
      <c r="CK367" s="9"/>
      <c r="CL367" s="9"/>
      <c r="CM367" s="9"/>
      <c r="CN367" s="9"/>
      <c r="CO367" s="9"/>
      <c r="CP367" s="9"/>
      <c r="CQ367" s="9"/>
      <c r="CR367" s="9"/>
      <c r="CS367" s="9"/>
      <c r="CT367" s="145"/>
      <c r="CU367" s="9"/>
      <c r="CV367" s="9"/>
      <c r="CW367" s="9"/>
      <c r="CX367" s="9"/>
      <c r="CY367" s="9"/>
      <c r="CZ367" s="9"/>
    </row>
    <row r="368" spans="2:104">
      <c r="B368" s="14"/>
      <c r="C368" s="1662"/>
      <c r="D368" s="1661"/>
      <c r="E368" s="1672"/>
      <c r="F368" s="1214" t="s">
        <v>214</v>
      </c>
      <c r="G368" s="1213">
        <v>0</v>
      </c>
      <c r="H368" s="1213">
        <v>0.75</v>
      </c>
      <c r="I368" s="1213">
        <v>0.75</v>
      </c>
      <c r="J368" s="1213">
        <v>1</v>
      </c>
      <c r="K368" s="1213">
        <v>0.15</v>
      </c>
      <c r="L368" s="1213">
        <f>'[2]3.Hd'!$E$403</f>
        <v>1.6960999999999999</v>
      </c>
      <c r="M368" s="1213">
        <f t="shared" si="53"/>
        <v>1.08126375</v>
      </c>
      <c r="N368" s="145"/>
      <c r="O368" s="145"/>
      <c r="P368" s="145"/>
      <c r="Q368" s="1681"/>
      <c r="R368" s="1683"/>
      <c r="S368" s="1660"/>
      <c r="T368" s="1199" t="s">
        <v>215</v>
      </c>
      <c r="U368" s="1198">
        <v>0.86</v>
      </c>
      <c r="V368" s="1198">
        <v>0.75</v>
      </c>
      <c r="W368" s="1198">
        <v>0.75</v>
      </c>
      <c r="X368" s="1198">
        <v>1</v>
      </c>
      <c r="Y368" s="1198">
        <v>0.1</v>
      </c>
      <c r="Z368" s="1198">
        <f>'[2]3.Hd'!$E$404</f>
        <v>2.2075</v>
      </c>
      <c r="AA368" s="512">
        <f t="shared" si="52"/>
        <v>1.4900625000000001</v>
      </c>
      <c r="AB368" s="145"/>
      <c r="AC368" s="145"/>
      <c r="AD368" s="145"/>
      <c r="AE368" s="145"/>
      <c r="AF368" s="41"/>
      <c r="AG368" s="41"/>
      <c r="BH368" s="1201"/>
      <c r="BI368" s="1205"/>
      <c r="BJ368" s="1206"/>
      <c r="BK368" s="145"/>
      <c r="BL368" s="145"/>
      <c r="BM368" s="145"/>
      <c r="BN368" s="145"/>
      <c r="BO368" s="145"/>
      <c r="BP368" s="145"/>
      <c r="BQ368" s="145"/>
      <c r="BR368" s="145"/>
      <c r="BS368" s="14"/>
      <c r="BT368" s="1201"/>
      <c r="CD368" s="9"/>
      <c r="CE368" s="9"/>
      <c r="CF368" s="145"/>
      <c r="CG368" s="9"/>
      <c r="CH368" s="9"/>
      <c r="CI368" s="9"/>
      <c r="CJ368" s="9"/>
      <c r="CK368" s="9"/>
      <c r="CL368" s="9"/>
      <c r="CM368" s="9"/>
      <c r="CN368" s="9"/>
      <c r="CO368" s="9"/>
      <c r="CP368" s="9"/>
      <c r="CQ368" s="9"/>
      <c r="CR368" s="9"/>
      <c r="CS368" s="9"/>
      <c r="CT368" s="145"/>
      <c r="CU368" s="9"/>
      <c r="CV368" s="9"/>
      <c r="CW368" s="9"/>
      <c r="CX368" s="9"/>
      <c r="CY368" s="9"/>
      <c r="CZ368" s="9"/>
    </row>
    <row r="369" spans="2:104" ht="16">
      <c r="B369" s="14"/>
      <c r="C369" s="1662"/>
      <c r="D369" s="1661"/>
      <c r="E369" s="1672"/>
      <c r="F369" s="1214" t="s">
        <v>215</v>
      </c>
      <c r="G369" s="1213">
        <v>0</v>
      </c>
      <c r="H369" s="1213">
        <v>0.75</v>
      </c>
      <c r="I369" s="1213">
        <v>0.75</v>
      </c>
      <c r="J369" s="1213">
        <v>1</v>
      </c>
      <c r="K369" s="1213">
        <v>0.15</v>
      </c>
      <c r="L369" s="1213">
        <f>'[2]3.Hd'!$E$403</f>
        <v>1.6960999999999999</v>
      </c>
      <c r="M369" s="1213">
        <f t="shared" si="53"/>
        <v>1.08126375</v>
      </c>
      <c r="N369" s="145"/>
      <c r="O369" s="145"/>
      <c r="P369" s="145"/>
      <c r="Q369" s="1681"/>
      <c r="R369" s="1683"/>
      <c r="S369" s="1669" t="s">
        <v>915</v>
      </c>
      <c r="T369" s="1653" t="s">
        <v>24</v>
      </c>
      <c r="U369" s="89" t="s">
        <v>319</v>
      </c>
      <c r="V369" s="89" t="s">
        <v>320</v>
      </c>
      <c r="W369" s="89" t="s">
        <v>321</v>
      </c>
      <c r="X369" s="89" t="s">
        <v>322</v>
      </c>
      <c r="Y369" s="89" t="s">
        <v>323</v>
      </c>
      <c r="Z369" s="89" t="s">
        <v>324</v>
      </c>
      <c r="AA369" s="518" t="s">
        <v>311</v>
      </c>
      <c r="AB369" s="145"/>
      <c r="AC369" s="145"/>
      <c r="AD369" s="145"/>
      <c r="AE369" s="145"/>
      <c r="AF369" s="41"/>
      <c r="AG369" s="41"/>
      <c r="BH369" s="1201"/>
      <c r="BI369" s="1205"/>
      <c r="BJ369" s="1206"/>
      <c r="BK369" s="145"/>
      <c r="BL369" s="145"/>
      <c r="BS369" s="14"/>
      <c r="BT369" s="1201"/>
      <c r="CD369" s="9"/>
      <c r="CE369" s="9"/>
      <c r="CF369" s="145"/>
      <c r="CG369" s="9"/>
      <c r="CH369" s="9"/>
      <c r="CI369" s="9"/>
      <c r="CJ369" s="9"/>
      <c r="CK369" s="9"/>
      <c r="CL369" s="9"/>
      <c r="CM369" s="9"/>
      <c r="CN369" s="9"/>
      <c r="CO369" s="9"/>
      <c r="CP369" s="9"/>
      <c r="CQ369" s="9"/>
      <c r="CR369" s="9"/>
      <c r="CS369" s="9"/>
      <c r="CT369" s="145"/>
      <c r="CU369" s="9"/>
      <c r="CV369" s="9"/>
      <c r="CW369" s="9"/>
      <c r="CX369" s="9"/>
      <c r="CY369" s="9"/>
      <c r="CZ369" s="9"/>
    </row>
    <row r="370" spans="2:104" ht="16">
      <c r="B370" s="14"/>
      <c r="C370" s="1662"/>
      <c r="D370" s="1661"/>
      <c r="E370" s="1679" t="s">
        <v>905</v>
      </c>
      <c r="F370" s="1653" t="s">
        <v>24</v>
      </c>
      <c r="G370" s="89" t="s">
        <v>319</v>
      </c>
      <c r="H370" s="89" t="s">
        <v>320</v>
      </c>
      <c r="I370" s="89" t="s">
        <v>321</v>
      </c>
      <c r="J370" s="89" t="s">
        <v>322</v>
      </c>
      <c r="K370" s="89" t="s">
        <v>323</v>
      </c>
      <c r="L370" s="89" t="s">
        <v>324</v>
      </c>
      <c r="M370" s="89" t="s">
        <v>311</v>
      </c>
      <c r="N370" s="145"/>
      <c r="O370" s="145"/>
      <c r="P370" s="145"/>
      <c r="Q370" s="1681"/>
      <c r="R370" s="1683"/>
      <c r="S370" s="1670"/>
      <c r="T370" s="1654"/>
      <c r="U370" s="115" t="s">
        <v>24</v>
      </c>
      <c r="V370" s="115" t="s">
        <v>24</v>
      </c>
      <c r="W370" s="115" t="s">
        <v>24</v>
      </c>
      <c r="X370" s="115" t="s">
        <v>24</v>
      </c>
      <c r="Y370" s="115" t="s">
        <v>24</v>
      </c>
      <c r="Z370" s="92" t="s">
        <v>32</v>
      </c>
      <c r="AA370" s="519" t="s">
        <v>32</v>
      </c>
      <c r="AB370" s="145"/>
      <c r="AC370" s="145"/>
      <c r="AD370" s="145"/>
      <c r="AE370" s="145"/>
      <c r="AF370" s="41"/>
      <c r="AG370" s="41"/>
      <c r="BH370" s="1201"/>
      <c r="BI370" s="1205"/>
      <c r="BJ370" s="1206"/>
      <c r="BK370" s="145"/>
      <c r="BL370" s="145"/>
      <c r="BN370" s="1484" t="s">
        <v>34</v>
      </c>
      <c r="BO370" s="1481" t="s">
        <v>809</v>
      </c>
      <c r="BP370" s="1103" t="s">
        <v>9</v>
      </c>
      <c r="BQ370" s="1187"/>
      <c r="BS370" s="14"/>
      <c r="BT370" s="1201"/>
      <c r="CD370" s="9"/>
      <c r="CE370" s="9"/>
      <c r="CF370" s="145"/>
      <c r="CG370" s="9"/>
      <c r="CH370" s="9"/>
      <c r="CI370" s="9"/>
      <c r="CJ370" s="9"/>
      <c r="CK370" s="9"/>
      <c r="CL370" s="9"/>
      <c r="CM370" s="9"/>
      <c r="CN370" s="9"/>
      <c r="CO370" s="9"/>
      <c r="CP370" s="9"/>
      <c r="CQ370" s="9"/>
      <c r="CR370" s="9"/>
      <c r="CS370" s="9"/>
      <c r="CT370" s="145"/>
      <c r="CU370" s="9"/>
      <c r="CV370" s="9"/>
      <c r="CW370" s="9"/>
      <c r="CX370" s="9"/>
      <c r="CY370" s="9"/>
      <c r="CZ370" s="9"/>
    </row>
    <row r="371" spans="2:104">
      <c r="B371" s="14"/>
      <c r="C371" s="1662"/>
      <c r="D371" s="1661"/>
      <c r="E371" s="1679"/>
      <c r="F371" s="1654"/>
      <c r="G371" s="115" t="s">
        <v>24</v>
      </c>
      <c r="H371" s="115" t="s">
        <v>24</v>
      </c>
      <c r="I371" s="115" t="s">
        <v>24</v>
      </c>
      <c r="J371" s="115" t="s">
        <v>24</v>
      </c>
      <c r="K371" s="115" t="s">
        <v>24</v>
      </c>
      <c r="L371" s="92" t="s">
        <v>32</v>
      </c>
      <c r="M371" s="92" t="s">
        <v>32</v>
      </c>
      <c r="N371" s="145"/>
      <c r="O371" s="145"/>
      <c r="P371" s="145"/>
      <c r="Q371" s="1681"/>
      <c r="R371" s="1683"/>
      <c r="S371" s="1670"/>
      <c r="T371" s="1199" t="s">
        <v>204</v>
      </c>
      <c r="U371" s="1198">
        <v>0.81</v>
      </c>
      <c r="V371" s="1198">
        <v>0.75</v>
      </c>
      <c r="W371" s="1198">
        <v>0.75</v>
      </c>
      <c r="X371" s="1198">
        <v>1</v>
      </c>
      <c r="Y371" s="1198">
        <v>0.1</v>
      </c>
      <c r="Z371" s="1198">
        <f>'[2]3.Hd'!$E$404</f>
        <v>2.2075</v>
      </c>
      <c r="AA371" s="512">
        <f t="shared" ref="AA371:AA382" si="54">X371*V371*(1-Y371)*Z371</f>
        <v>1.4900625000000001</v>
      </c>
      <c r="AB371" s="145"/>
      <c r="AC371" s="145"/>
      <c r="AD371" s="145"/>
      <c r="AE371" s="145"/>
      <c r="AF371" s="41"/>
      <c r="AG371" s="41"/>
      <c r="BH371" s="1201"/>
      <c r="BI371" s="1205"/>
      <c r="BJ371" s="1206"/>
      <c r="BK371" s="145"/>
      <c r="BL371" s="145"/>
      <c r="BN371" s="1485"/>
      <c r="BO371" s="1482"/>
      <c r="BP371" s="1104"/>
      <c r="BQ371" s="1189"/>
      <c r="BS371" s="14"/>
      <c r="BT371" s="1201"/>
      <c r="CD371" s="9"/>
      <c r="CE371" s="9"/>
      <c r="CF371" s="145"/>
      <c r="CG371" s="9"/>
      <c r="CH371" s="9"/>
      <c r="CI371" s="9"/>
      <c r="CJ371" s="9"/>
      <c r="CK371" s="9"/>
      <c r="CL371" s="9"/>
      <c r="CM371" s="9"/>
      <c r="CN371" s="9"/>
      <c r="CO371" s="9"/>
      <c r="CP371" s="9"/>
      <c r="CQ371" s="9"/>
      <c r="CR371" s="9"/>
      <c r="CS371" s="9"/>
      <c r="CT371" s="145"/>
      <c r="CU371" s="9"/>
      <c r="CV371" s="9"/>
      <c r="CW371" s="9"/>
      <c r="CX371" s="9"/>
      <c r="CY371" s="9"/>
      <c r="CZ371" s="9"/>
    </row>
    <row r="372" spans="2:104" ht="15" customHeight="1">
      <c r="B372" s="14"/>
      <c r="C372" s="1662"/>
      <c r="D372" s="1661"/>
      <c r="E372" s="1679"/>
      <c r="F372" s="1214" t="s">
        <v>204</v>
      </c>
      <c r="G372" s="1213">
        <v>0</v>
      </c>
      <c r="H372" s="1213">
        <v>0.75</v>
      </c>
      <c r="I372" s="1213">
        <v>0.75</v>
      </c>
      <c r="J372" s="1213">
        <v>1</v>
      </c>
      <c r="K372" s="1213">
        <v>0.15</v>
      </c>
      <c r="L372" s="1213">
        <f>'[2]3.Hd'!$E$403</f>
        <v>1.6960999999999999</v>
      </c>
      <c r="M372" s="1213">
        <f t="shared" ref="M372:M383" si="55">J372*H372*(1-K372)*L372</f>
        <v>1.08126375</v>
      </c>
      <c r="N372" s="17"/>
      <c r="O372" s="380"/>
      <c r="P372" s="380"/>
      <c r="Q372" s="1681"/>
      <c r="R372" s="1683"/>
      <c r="S372" s="1670"/>
      <c r="T372" s="1199" t="s">
        <v>205</v>
      </c>
      <c r="U372" s="1198">
        <v>0.82</v>
      </c>
      <c r="V372" s="1198">
        <v>0.75</v>
      </c>
      <c r="W372" s="1198">
        <v>0.75</v>
      </c>
      <c r="X372" s="1198">
        <v>1</v>
      </c>
      <c r="Y372" s="1198">
        <v>0.1</v>
      </c>
      <c r="Z372" s="1198">
        <f>'[2]3.Hd'!$E$404</f>
        <v>2.2075</v>
      </c>
      <c r="AA372" s="512">
        <f t="shared" si="54"/>
        <v>1.4900625000000001</v>
      </c>
      <c r="AB372" s="145"/>
      <c r="AC372" s="145"/>
      <c r="AD372" s="145"/>
      <c r="AE372" s="145"/>
      <c r="AF372" s="41"/>
      <c r="AG372" s="41"/>
      <c r="BH372" s="1201"/>
      <c r="BI372" s="1205"/>
      <c r="BJ372" s="1206"/>
      <c r="BK372" s="145"/>
      <c r="BL372" s="145"/>
      <c r="BN372" s="1485"/>
      <c r="BO372" s="1482"/>
      <c r="BP372" s="1104"/>
      <c r="BQ372" s="1189"/>
      <c r="BS372" s="14"/>
      <c r="BT372" s="1201"/>
      <c r="CD372" s="9"/>
      <c r="CE372" s="9"/>
      <c r="CF372" s="145"/>
      <c r="CG372" s="9"/>
      <c r="CH372" s="9"/>
      <c r="CI372" s="9"/>
      <c r="CJ372" s="9"/>
      <c r="CK372" s="9"/>
      <c r="CL372" s="9"/>
      <c r="CM372" s="9"/>
      <c r="CN372" s="9"/>
      <c r="CO372" s="9"/>
      <c r="CP372" s="9"/>
      <c r="CQ372" s="9"/>
      <c r="CR372" s="9"/>
      <c r="CS372" s="9"/>
      <c r="CT372" s="145"/>
      <c r="CU372" s="9"/>
      <c r="CV372" s="9"/>
      <c r="CW372" s="9"/>
      <c r="CX372" s="9"/>
      <c r="CY372" s="9"/>
      <c r="CZ372" s="9"/>
    </row>
    <row r="373" spans="2:104">
      <c r="B373" s="14"/>
      <c r="C373" s="1662"/>
      <c r="D373" s="1661"/>
      <c r="E373" s="1679"/>
      <c r="F373" s="1214" t="s">
        <v>205</v>
      </c>
      <c r="G373" s="1213">
        <v>0</v>
      </c>
      <c r="H373" s="1213">
        <v>0.75</v>
      </c>
      <c r="I373" s="1213">
        <v>0.75</v>
      </c>
      <c r="J373" s="1213">
        <v>1</v>
      </c>
      <c r="K373" s="1213">
        <v>0.15</v>
      </c>
      <c r="L373" s="1213">
        <f>'[2]3.Hd'!$E$403</f>
        <v>1.6960999999999999</v>
      </c>
      <c r="M373" s="1213">
        <f t="shared" si="55"/>
        <v>1.08126375</v>
      </c>
      <c r="N373" s="17"/>
      <c r="O373" s="145"/>
      <c r="P373" s="145"/>
      <c r="Q373" s="1681"/>
      <c r="R373" s="1683"/>
      <c r="S373" s="1670"/>
      <c r="T373" s="1199" t="s">
        <v>206</v>
      </c>
      <c r="U373" s="1198">
        <v>0.81</v>
      </c>
      <c r="V373" s="1198">
        <v>0.75</v>
      </c>
      <c r="W373" s="1198">
        <v>0.75</v>
      </c>
      <c r="X373" s="1198">
        <v>1</v>
      </c>
      <c r="Y373" s="1198">
        <v>0.1</v>
      </c>
      <c r="Z373" s="1198">
        <f>'[2]3.Hd'!$E$404</f>
        <v>2.2075</v>
      </c>
      <c r="AA373" s="512">
        <f t="shared" si="54"/>
        <v>1.4900625000000001</v>
      </c>
      <c r="AB373" s="145"/>
      <c r="AC373" s="145"/>
      <c r="AD373" s="145"/>
      <c r="AE373" s="145"/>
      <c r="AF373" s="41"/>
      <c r="AG373" s="41"/>
      <c r="BH373" s="1201"/>
      <c r="BI373" s="1205"/>
      <c r="BJ373" s="1206"/>
      <c r="BK373" s="145"/>
      <c r="BL373" s="145"/>
      <c r="BN373" s="1485"/>
      <c r="BO373" s="1482"/>
      <c r="BP373" s="1105"/>
      <c r="BQ373" s="939" t="s">
        <v>618</v>
      </c>
      <c r="BS373" s="14"/>
      <c r="BT373" s="1201"/>
      <c r="CD373" s="9"/>
      <c r="CE373" s="9"/>
      <c r="CF373" s="145"/>
      <c r="CG373" s="9"/>
      <c r="CH373" s="9"/>
      <c r="CI373" s="9"/>
      <c r="CJ373" s="9"/>
      <c r="CK373" s="9"/>
      <c r="CL373" s="9"/>
      <c r="CM373" s="9"/>
      <c r="CN373" s="9"/>
      <c r="CO373" s="9"/>
      <c r="CP373" s="9"/>
      <c r="CQ373" s="9"/>
      <c r="CR373" s="9"/>
      <c r="CS373" s="9"/>
      <c r="CT373" s="145"/>
      <c r="CU373" s="9"/>
      <c r="CV373" s="9"/>
      <c r="CW373" s="9"/>
      <c r="CX373" s="9"/>
      <c r="CY373" s="9"/>
      <c r="CZ373" s="9"/>
    </row>
    <row r="374" spans="2:104">
      <c r="B374" s="14"/>
      <c r="C374" s="1662"/>
      <c r="D374" s="1661"/>
      <c r="E374" s="1679"/>
      <c r="F374" s="1214" t="s">
        <v>206</v>
      </c>
      <c r="G374" s="1213">
        <v>0</v>
      </c>
      <c r="H374" s="1213">
        <v>0.75</v>
      </c>
      <c r="I374" s="1213">
        <v>0.75</v>
      </c>
      <c r="J374" s="1213">
        <v>1</v>
      </c>
      <c r="K374" s="1213">
        <v>0.15</v>
      </c>
      <c r="L374" s="1213">
        <f>'[2]3.Hd'!$E$403</f>
        <v>1.6960999999999999</v>
      </c>
      <c r="M374" s="1213">
        <f t="shared" si="55"/>
        <v>1.08126375</v>
      </c>
      <c r="N374" s="145"/>
      <c r="O374" s="145"/>
      <c r="P374" s="145"/>
      <c r="Q374" s="1681"/>
      <c r="R374" s="1683"/>
      <c r="S374" s="1670"/>
      <c r="T374" s="1199" t="s">
        <v>207</v>
      </c>
      <c r="U374" s="1198">
        <v>0.74</v>
      </c>
      <c r="V374" s="1198">
        <v>0.75</v>
      </c>
      <c r="W374" s="1198">
        <v>0.75</v>
      </c>
      <c r="X374" s="1198">
        <v>1</v>
      </c>
      <c r="Y374" s="1198">
        <v>0.1</v>
      </c>
      <c r="Z374" s="1198">
        <f>'[2]3.Hd'!$E$404</f>
        <v>2.2075</v>
      </c>
      <c r="AA374" s="512">
        <f t="shared" si="54"/>
        <v>1.4900625000000001</v>
      </c>
      <c r="AB374" s="145"/>
      <c r="AC374" s="145"/>
      <c r="AD374" s="145"/>
      <c r="AE374" s="145"/>
      <c r="AF374" s="41"/>
      <c r="AG374" s="41"/>
      <c r="BH374" s="1201"/>
      <c r="BI374" s="1205"/>
      <c r="BJ374" s="1206"/>
      <c r="BK374" s="145"/>
      <c r="BL374" s="145"/>
      <c r="BN374" s="1485"/>
      <c r="BO374" s="1482"/>
      <c r="BP374" s="1197" t="s">
        <v>804</v>
      </c>
      <c r="BQ374" s="1188"/>
      <c r="BS374" s="14"/>
      <c r="BT374" s="1201"/>
      <c r="CD374" s="9"/>
      <c r="CE374" s="9"/>
      <c r="CF374" s="145"/>
      <c r="CG374" s="9"/>
      <c r="CH374" s="9"/>
      <c r="CI374" s="9"/>
      <c r="CJ374" s="9"/>
      <c r="CK374" s="9"/>
      <c r="CL374" s="9"/>
      <c r="CM374" s="9"/>
      <c r="CN374" s="9"/>
      <c r="CO374" s="9"/>
      <c r="CP374" s="9"/>
      <c r="CQ374" s="9"/>
      <c r="CR374" s="9"/>
      <c r="CS374" s="9"/>
      <c r="CT374" s="145"/>
      <c r="CU374" s="9"/>
      <c r="CV374" s="9"/>
      <c r="CW374" s="9"/>
      <c r="CX374" s="9"/>
      <c r="CY374" s="9"/>
      <c r="CZ374" s="9"/>
    </row>
    <row r="375" spans="2:104">
      <c r="B375" s="14"/>
      <c r="C375" s="1662"/>
      <c r="D375" s="1661"/>
      <c r="E375" s="1679"/>
      <c r="F375" s="1214" t="s">
        <v>207</v>
      </c>
      <c r="G375" s="1213">
        <v>0</v>
      </c>
      <c r="H375" s="1213">
        <v>0.75</v>
      </c>
      <c r="I375" s="1213">
        <v>0.75</v>
      </c>
      <c r="J375" s="1213">
        <v>1</v>
      </c>
      <c r="K375" s="1213">
        <v>0.15</v>
      </c>
      <c r="L375" s="1213">
        <f>'[2]3.Hd'!$E$403</f>
        <v>1.6960999999999999</v>
      </c>
      <c r="M375" s="1213">
        <f t="shared" si="55"/>
        <v>1.08126375</v>
      </c>
      <c r="N375" s="145"/>
      <c r="O375" s="145"/>
      <c r="P375" s="145"/>
      <c r="Q375" s="1681"/>
      <c r="R375" s="1683"/>
      <c r="S375" s="1670"/>
      <c r="T375" s="1199" t="s">
        <v>208</v>
      </c>
      <c r="U375" s="1198">
        <v>0.62</v>
      </c>
      <c r="V375" s="1198">
        <v>0.75</v>
      </c>
      <c r="W375" s="1198">
        <v>0.75</v>
      </c>
      <c r="X375" s="1198">
        <v>1</v>
      </c>
      <c r="Y375" s="1198">
        <v>0.1</v>
      </c>
      <c r="Z375" s="1198">
        <f>'[2]3.Hd'!$E$404</f>
        <v>2.2075</v>
      </c>
      <c r="AA375" s="512">
        <f t="shared" si="54"/>
        <v>1.4900625000000001</v>
      </c>
      <c r="AB375" s="145"/>
      <c r="AC375" s="145"/>
      <c r="AD375" s="145"/>
      <c r="AE375" s="145"/>
      <c r="AF375" s="41"/>
      <c r="AG375" s="41"/>
      <c r="BH375" s="1201"/>
      <c r="BI375" s="1205"/>
      <c r="BJ375" s="1206"/>
      <c r="BK375" s="145"/>
      <c r="BL375" s="145"/>
      <c r="BN375" s="1485"/>
      <c r="BO375" s="1482"/>
      <c r="BP375" s="1197"/>
      <c r="BQ375" s="1188"/>
      <c r="BS375" s="14"/>
      <c r="BT375" s="1201"/>
      <c r="CD375" s="9"/>
      <c r="CE375" s="9"/>
      <c r="CF375" s="145"/>
      <c r="CG375" s="9"/>
      <c r="CH375" s="9"/>
      <c r="CI375" s="9"/>
      <c r="CJ375" s="9"/>
      <c r="CK375" s="9"/>
      <c r="CL375" s="9"/>
      <c r="CM375" s="9"/>
      <c r="CN375" s="9"/>
      <c r="CO375" s="9"/>
      <c r="CP375" s="9"/>
      <c r="CQ375" s="9"/>
      <c r="CR375" s="9"/>
      <c r="CS375" s="9"/>
      <c r="CT375" s="145"/>
      <c r="CU375" s="9"/>
      <c r="CV375" s="9"/>
      <c r="CW375" s="9"/>
      <c r="CX375" s="9"/>
      <c r="CY375" s="9"/>
      <c r="CZ375" s="9"/>
    </row>
    <row r="376" spans="2:104">
      <c r="B376" s="14"/>
      <c r="C376" s="1662"/>
      <c r="D376" s="1661"/>
      <c r="E376" s="1679"/>
      <c r="F376" s="1214" t="s">
        <v>208</v>
      </c>
      <c r="G376" s="1213">
        <v>0</v>
      </c>
      <c r="H376" s="1213">
        <v>0.75</v>
      </c>
      <c r="I376" s="1213">
        <v>0.75</v>
      </c>
      <c r="J376" s="1213">
        <v>1</v>
      </c>
      <c r="K376" s="1213">
        <v>0.15</v>
      </c>
      <c r="L376" s="1213">
        <f>'[2]3.Hd'!$E$403</f>
        <v>1.6960999999999999</v>
      </c>
      <c r="M376" s="1213">
        <f t="shared" si="55"/>
        <v>1.08126375</v>
      </c>
      <c r="N376" s="145"/>
      <c r="O376" s="145"/>
      <c r="P376" s="145"/>
      <c r="Q376" s="1681"/>
      <c r="R376" s="1683"/>
      <c r="S376" s="1670"/>
      <c r="T376" s="1199" t="s">
        <v>209</v>
      </c>
      <c r="U376" s="1198">
        <v>0.56000000000000005</v>
      </c>
      <c r="V376" s="1198">
        <v>0.75</v>
      </c>
      <c r="W376" s="1198">
        <v>0.75</v>
      </c>
      <c r="X376" s="1198">
        <v>1</v>
      </c>
      <c r="Y376" s="1198">
        <v>0.1</v>
      </c>
      <c r="Z376" s="1198">
        <f>'[2]3.Hd'!$E$404</f>
        <v>2.2075</v>
      </c>
      <c r="AA376" s="512">
        <f t="shared" si="54"/>
        <v>1.4900625000000001</v>
      </c>
      <c r="AB376" s="145"/>
      <c r="AC376" s="145"/>
      <c r="AD376" s="145"/>
      <c r="AE376" s="145"/>
      <c r="AF376" s="41"/>
      <c r="AG376" s="41"/>
      <c r="BH376" s="1201"/>
      <c r="BI376" s="1205"/>
      <c r="BJ376" s="1206"/>
      <c r="BK376" s="145"/>
      <c r="BL376" s="145"/>
      <c r="BN376" s="1485"/>
      <c r="BO376" s="1482"/>
      <c r="BP376" s="1197"/>
      <c r="BQ376" s="1188"/>
      <c r="BS376" s="14"/>
      <c r="BT376" s="1201"/>
      <c r="CD376" s="9"/>
      <c r="CE376" s="9"/>
      <c r="CF376" s="145"/>
      <c r="CG376" s="9"/>
      <c r="CH376" s="9"/>
      <c r="CI376" s="9"/>
      <c r="CJ376" s="9"/>
      <c r="CK376" s="9"/>
      <c r="CL376" s="9"/>
      <c r="CM376" s="9"/>
      <c r="CN376" s="9"/>
      <c r="CO376" s="9"/>
      <c r="CP376" s="9"/>
      <c r="CQ376" s="9"/>
      <c r="CR376" s="9"/>
      <c r="CS376" s="9"/>
      <c r="CT376" s="145"/>
      <c r="CU376" s="9"/>
      <c r="CV376" s="9"/>
      <c r="CW376" s="9"/>
      <c r="CX376" s="9"/>
      <c r="CY376" s="9"/>
      <c r="CZ376" s="9"/>
    </row>
    <row r="377" spans="2:104">
      <c r="B377" s="14"/>
      <c r="C377" s="1662"/>
      <c r="D377" s="1661"/>
      <c r="E377" s="1679"/>
      <c r="F377" s="1214" t="s">
        <v>209</v>
      </c>
      <c r="G377" s="1213">
        <v>0</v>
      </c>
      <c r="H377" s="1213">
        <v>0.75</v>
      </c>
      <c r="I377" s="1213">
        <v>0.75</v>
      </c>
      <c r="J377" s="1213">
        <v>1</v>
      </c>
      <c r="K377" s="1213">
        <v>0.15</v>
      </c>
      <c r="L377" s="1213">
        <f>'[2]3.Hd'!$E$403</f>
        <v>1.6960999999999999</v>
      </c>
      <c r="M377" s="1213">
        <f t="shared" si="55"/>
        <v>1.08126375</v>
      </c>
      <c r="N377" s="145"/>
      <c r="O377" s="145"/>
      <c r="P377" s="145"/>
      <c r="Q377" s="1681"/>
      <c r="R377" s="1683"/>
      <c r="S377" s="1670"/>
      <c r="T377" s="1199" t="s">
        <v>210</v>
      </c>
      <c r="U377" s="1198">
        <v>0.62</v>
      </c>
      <c r="V377" s="1198">
        <v>0.75</v>
      </c>
      <c r="W377" s="1198">
        <v>0.75</v>
      </c>
      <c r="X377" s="1198">
        <v>1</v>
      </c>
      <c r="Y377" s="1198">
        <v>0.1</v>
      </c>
      <c r="Z377" s="1198">
        <f>'[2]3.Hd'!$E$404</f>
        <v>2.2075</v>
      </c>
      <c r="AA377" s="512">
        <f t="shared" si="54"/>
        <v>1.4900625000000001</v>
      </c>
      <c r="AB377" s="145"/>
      <c r="AC377" s="145"/>
      <c r="AD377" s="145"/>
      <c r="AE377" s="145"/>
      <c r="AF377" s="41"/>
      <c r="AG377" s="41"/>
      <c r="BH377" s="1201"/>
      <c r="BI377" s="1205"/>
      <c r="BJ377" s="1206"/>
      <c r="BK377" s="145"/>
      <c r="BL377" s="145"/>
      <c r="BN377" s="1485"/>
      <c r="BO377" s="1482"/>
      <c r="BP377" s="1192"/>
      <c r="BQ377" s="1188"/>
      <c r="BS377" s="14"/>
      <c r="BT377" s="1201"/>
      <c r="CD377" s="9"/>
      <c r="CE377" s="9"/>
      <c r="CF377" s="145"/>
      <c r="CG377" s="9"/>
      <c r="CH377" s="9"/>
      <c r="CI377" s="9"/>
      <c r="CJ377" s="9"/>
      <c r="CK377" s="9"/>
      <c r="CL377" s="9"/>
      <c r="CM377" s="9"/>
      <c r="CN377" s="9"/>
      <c r="CO377" s="9"/>
      <c r="CP377" s="9"/>
      <c r="CQ377" s="9"/>
      <c r="CR377" s="9"/>
      <c r="CS377" s="9"/>
      <c r="CT377" s="145"/>
      <c r="CU377" s="9"/>
      <c r="CV377" s="9"/>
      <c r="CW377" s="9"/>
      <c r="CX377" s="9"/>
      <c r="CY377" s="9"/>
      <c r="CZ377" s="9"/>
    </row>
    <row r="378" spans="2:104">
      <c r="B378" s="14"/>
      <c r="C378" s="1662"/>
      <c r="D378" s="1661"/>
      <c r="E378" s="1679"/>
      <c r="F378" s="1214" t="s">
        <v>210</v>
      </c>
      <c r="G378" s="1213">
        <v>0</v>
      </c>
      <c r="H378" s="1213">
        <v>0.75</v>
      </c>
      <c r="I378" s="1213">
        <v>0.75</v>
      </c>
      <c r="J378" s="1213">
        <v>1</v>
      </c>
      <c r="K378" s="1213">
        <v>0.15</v>
      </c>
      <c r="L378" s="1213">
        <f>'[2]3.Hd'!$E$403</f>
        <v>1.6960999999999999</v>
      </c>
      <c r="M378" s="1213">
        <f t="shared" si="55"/>
        <v>1.08126375</v>
      </c>
      <c r="N378" s="145"/>
      <c r="O378" s="145"/>
      <c r="P378" s="145"/>
      <c r="Q378" s="1681"/>
      <c r="R378" s="1683"/>
      <c r="S378" s="1670"/>
      <c r="T378" s="1199" t="s">
        <v>211</v>
      </c>
      <c r="U378" s="1198">
        <v>0.76</v>
      </c>
      <c r="V378" s="1198">
        <v>0.75</v>
      </c>
      <c r="W378" s="1198">
        <v>0.75</v>
      </c>
      <c r="X378" s="1198">
        <v>1</v>
      </c>
      <c r="Y378" s="1198">
        <v>0.1</v>
      </c>
      <c r="Z378" s="1198">
        <f>'[2]3.Hd'!$E$404</f>
        <v>2.2075</v>
      </c>
      <c r="AA378" s="512">
        <f t="shared" si="54"/>
        <v>1.4900625000000001</v>
      </c>
      <c r="AB378" s="145"/>
      <c r="AC378" s="145"/>
      <c r="AD378" s="145"/>
      <c r="AE378" s="145"/>
      <c r="AF378" s="41"/>
      <c r="AG378" s="41"/>
      <c r="BH378" s="1201"/>
      <c r="BI378" s="1205"/>
      <c r="BJ378" s="1206"/>
      <c r="BK378" s="145"/>
      <c r="BL378" s="145"/>
      <c r="BN378" s="1485"/>
      <c r="BO378" s="1482"/>
      <c r="BP378" s="1192"/>
      <c r="BQ378" s="1188"/>
      <c r="BS378" s="14"/>
      <c r="BT378" s="1201"/>
      <c r="CD378" s="9"/>
      <c r="CE378" s="9"/>
      <c r="CF378" s="145"/>
      <c r="CG378" s="9"/>
      <c r="CH378" s="9"/>
      <c r="CI378" s="9"/>
      <c r="CJ378" s="9"/>
      <c r="CK378" s="9"/>
      <c r="CL378" s="9"/>
      <c r="CM378" s="9"/>
      <c r="CN378" s="9"/>
      <c r="CO378" s="9"/>
      <c r="CP378" s="9"/>
      <c r="CQ378" s="9"/>
      <c r="CR378" s="9"/>
      <c r="CS378" s="9"/>
      <c r="CT378" s="145"/>
      <c r="CU378" s="9"/>
      <c r="CV378" s="9"/>
      <c r="CW378" s="9"/>
      <c r="CX378" s="9"/>
      <c r="CY378" s="9"/>
      <c r="CZ378" s="9"/>
    </row>
    <row r="379" spans="2:104" ht="15" customHeight="1">
      <c r="B379" s="14"/>
      <c r="C379" s="1662"/>
      <c r="D379" s="1661"/>
      <c r="E379" s="1679"/>
      <c r="F379" s="1214" t="s">
        <v>211</v>
      </c>
      <c r="G379" s="1213">
        <v>0</v>
      </c>
      <c r="H379" s="1213">
        <v>0.75</v>
      </c>
      <c r="I379" s="1213">
        <v>0.75</v>
      </c>
      <c r="J379" s="1213">
        <v>1</v>
      </c>
      <c r="K379" s="1213">
        <v>0.15</v>
      </c>
      <c r="L379" s="1213">
        <f>'[2]3.Hd'!$E$403</f>
        <v>1.6960999999999999</v>
      </c>
      <c r="M379" s="1213">
        <f t="shared" si="55"/>
        <v>1.08126375</v>
      </c>
      <c r="N379" s="145"/>
      <c r="O379" s="145"/>
      <c r="P379" s="145"/>
      <c r="Q379" s="1681"/>
      <c r="R379" s="1683"/>
      <c r="S379" s="1670"/>
      <c r="T379" s="1199" t="s">
        <v>212</v>
      </c>
      <c r="U379" s="1198">
        <v>0.82</v>
      </c>
      <c r="V379" s="1198">
        <v>0.75</v>
      </c>
      <c r="W379" s="1198">
        <v>0.75</v>
      </c>
      <c r="X379" s="1198">
        <v>1</v>
      </c>
      <c r="Y379" s="1198">
        <v>0.1</v>
      </c>
      <c r="Z379" s="1198">
        <f>'[2]3.Hd'!$E$404</f>
        <v>2.2075</v>
      </c>
      <c r="AA379" s="512">
        <f t="shared" si="54"/>
        <v>1.4900625000000001</v>
      </c>
      <c r="AB379" s="380"/>
      <c r="AC379" s="380"/>
      <c r="AD379" s="380"/>
      <c r="AE379" s="380"/>
      <c r="AF379" s="41"/>
      <c r="AG379" s="41"/>
      <c r="BH379" s="1201"/>
      <c r="BI379" s="1205"/>
      <c r="BJ379" s="1206"/>
      <c r="BK379" s="145"/>
      <c r="BL379" s="145"/>
      <c r="BN379" s="1485"/>
      <c r="BO379" s="1482"/>
      <c r="BP379" s="1192"/>
      <c r="BQ379" s="847" t="s">
        <v>619</v>
      </c>
      <c r="BS379" s="14"/>
      <c r="BT379" s="1201"/>
      <c r="CD379" s="9"/>
      <c r="CE379" s="9"/>
      <c r="CF379" s="145"/>
      <c r="CG379" s="9"/>
      <c r="CH379" s="9"/>
      <c r="CI379" s="9"/>
      <c r="CJ379" s="9"/>
      <c r="CK379" s="9"/>
      <c r="CL379" s="9"/>
      <c r="CM379" s="9"/>
      <c r="CN379" s="9"/>
      <c r="CO379" s="9"/>
      <c r="CP379" s="9"/>
      <c r="CQ379" s="9"/>
      <c r="CR379" s="9"/>
      <c r="CS379" s="9"/>
      <c r="CT379" s="145"/>
      <c r="CU379" s="9"/>
      <c r="CV379" s="9"/>
      <c r="CW379" s="9"/>
      <c r="CX379" s="9"/>
      <c r="CY379" s="9"/>
      <c r="CZ379" s="9"/>
    </row>
    <row r="380" spans="2:104" ht="15" customHeight="1">
      <c r="B380" s="14"/>
      <c r="C380" s="1662"/>
      <c r="D380" s="1661"/>
      <c r="E380" s="1679"/>
      <c r="F380" s="1214" t="s">
        <v>212</v>
      </c>
      <c r="G380" s="1213">
        <v>0</v>
      </c>
      <c r="H380" s="1213">
        <v>0.75</v>
      </c>
      <c r="I380" s="1213">
        <v>0.75</v>
      </c>
      <c r="J380" s="1213">
        <v>1</v>
      </c>
      <c r="K380" s="1213">
        <v>0.15</v>
      </c>
      <c r="L380" s="1213">
        <f>'[2]3.Hd'!$E$403</f>
        <v>1.6960999999999999</v>
      </c>
      <c r="M380" s="1213">
        <f t="shared" si="55"/>
        <v>1.08126375</v>
      </c>
      <c r="N380" s="145"/>
      <c r="O380" s="145"/>
      <c r="P380" s="145"/>
      <c r="Q380" s="1681"/>
      <c r="R380" s="1683"/>
      <c r="S380" s="1670"/>
      <c r="T380" s="1199" t="s">
        <v>213</v>
      </c>
      <c r="U380" s="1198">
        <v>0.86</v>
      </c>
      <c r="V380" s="1198">
        <v>0.75</v>
      </c>
      <c r="W380" s="1198">
        <v>0.75</v>
      </c>
      <c r="X380" s="1198">
        <v>1</v>
      </c>
      <c r="Y380" s="1198">
        <v>0.1</v>
      </c>
      <c r="Z380" s="1198">
        <f>'[2]3.Hd'!$E$404</f>
        <v>2.2075</v>
      </c>
      <c r="AA380" s="512">
        <f t="shared" si="54"/>
        <v>1.4900625000000001</v>
      </c>
      <c r="AB380" s="145"/>
      <c r="AC380" s="145"/>
      <c r="AD380" s="34"/>
      <c r="AE380" s="34"/>
      <c r="AF380" s="41"/>
      <c r="AG380" s="41"/>
      <c r="BH380" s="1201"/>
      <c r="BI380" s="1205"/>
      <c r="BJ380" s="1206"/>
      <c r="BK380" s="18"/>
      <c r="BL380" s="380"/>
      <c r="BN380" s="1485"/>
      <c r="BO380" s="1482"/>
      <c r="BP380" s="1193"/>
      <c r="BQ380" s="852" t="s">
        <v>631</v>
      </c>
      <c r="BT380" s="1201"/>
      <c r="CD380" s="9"/>
      <c r="CE380" s="9"/>
      <c r="CF380" s="380"/>
      <c r="CG380" s="9"/>
      <c r="CH380" s="9"/>
      <c r="CI380" s="9"/>
      <c r="CJ380" s="9"/>
      <c r="CK380" s="9"/>
      <c r="CL380" s="9"/>
      <c r="CM380" s="9"/>
      <c r="CN380" s="9"/>
      <c r="CO380" s="9"/>
      <c r="CP380" s="9"/>
      <c r="CQ380" s="9"/>
      <c r="CR380" s="9"/>
      <c r="CS380" s="9"/>
      <c r="CT380" s="380"/>
      <c r="CU380" s="9"/>
      <c r="CV380" s="9"/>
      <c r="CW380" s="9"/>
      <c r="CX380" s="9"/>
      <c r="CY380" s="9"/>
      <c r="CZ380" s="9"/>
    </row>
    <row r="381" spans="2:104">
      <c r="B381" s="14"/>
      <c r="C381" s="1662"/>
      <c r="D381" s="1661"/>
      <c r="E381" s="1679"/>
      <c r="F381" s="1214" t="s">
        <v>213</v>
      </c>
      <c r="G381" s="1213">
        <v>0</v>
      </c>
      <c r="H381" s="1213">
        <v>0.75</v>
      </c>
      <c r="I381" s="1213">
        <v>0.75</v>
      </c>
      <c r="J381" s="1213">
        <v>1</v>
      </c>
      <c r="K381" s="1213">
        <v>0.15</v>
      </c>
      <c r="L381" s="1213">
        <f>'[2]3.Hd'!$E$403</f>
        <v>1.6960999999999999</v>
      </c>
      <c r="M381" s="1213">
        <f t="shared" si="55"/>
        <v>1.08126375</v>
      </c>
      <c r="N381" s="145"/>
      <c r="O381" s="145"/>
      <c r="P381" s="145"/>
      <c r="Q381" s="1681"/>
      <c r="R381" s="1683"/>
      <c r="S381" s="1670"/>
      <c r="T381" s="1199" t="s">
        <v>214</v>
      </c>
      <c r="U381" s="1198">
        <v>0.84</v>
      </c>
      <c r="V381" s="1198">
        <v>0.75</v>
      </c>
      <c r="W381" s="1198">
        <v>0.75</v>
      </c>
      <c r="X381" s="1198">
        <v>1</v>
      </c>
      <c r="Y381" s="1198">
        <v>0.1</v>
      </c>
      <c r="Z381" s="1198">
        <f>'[2]3.Hd'!$E$404</f>
        <v>2.2075</v>
      </c>
      <c r="AA381" s="512">
        <f t="shared" si="54"/>
        <v>1.4900625000000001</v>
      </c>
      <c r="AB381" s="145"/>
      <c r="AC381" s="145"/>
      <c r="AD381" s="145"/>
      <c r="AE381" s="145"/>
      <c r="AF381" s="41"/>
      <c r="AG381" s="41"/>
      <c r="BH381" s="1201"/>
      <c r="BI381" s="1205"/>
      <c r="BJ381" s="1206"/>
      <c r="BK381" s="18"/>
      <c r="BL381" s="145"/>
      <c r="BN381" s="1485"/>
      <c r="BO381" s="1482"/>
      <c r="BP381" s="1192" t="s">
        <v>22</v>
      </c>
      <c r="BQ381" s="1188"/>
      <c r="BS381" s="34"/>
      <c r="BT381" s="1201"/>
      <c r="CD381" s="9"/>
      <c r="CE381" s="9"/>
      <c r="CF381" s="145"/>
      <c r="CG381" s="9"/>
      <c r="CH381" s="9"/>
      <c r="CI381" s="9"/>
      <c r="CJ381" s="9"/>
      <c r="CK381" s="9"/>
      <c r="CL381" s="9"/>
      <c r="CM381" s="9"/>
      <c r="CN381" s="9"/>
      <c r="CO381" s="9"/>
      <c r="CP381" s="9"/>
      <c r="CQ381" s="9"/>
      <c r="CR381" s="9"/>
      <c r="CS381" s="9"/>
      <c r="CT381" s="145"/>
      <c r="CU381" s="9"/>
      <c r="CV381" s="9"/>
      <c r="CW381" s="9"/>
      <c r="CX381" s="9"/>
      <c r="CY381" s="9"/>
      <c r="CZ381" s="9"/>
    </row>
    <row r="382" spans="2:104">
      <c r="B382" s="14"/>
      <c r="C382" s="1662"/>
      <c r="D382" s="1661"/>
      <c r="E382" s="1679"/>
      <c r="F382" s="1214" t="s">
        <v>214</v>
      </c>
      <c r="G382" s="1213">
        <v>0</v>
      </c>
      <c r="H382" s="1213">
        <v>0.75</v>
      </c>
      <c r="I382" s="1213">
        <v>0.75</v>
      </c>
      <c r="J382" s="1213">
        <v>1</v>
      </c>
      <c r="K382" s="1213">
        <v>0.15</v>
      </c>
      <c r="L382" s="1213">
        <f>'[2]3.Hd'!$E$403</f>
        <v>1.6960999999999999</v>
      </c>
      <c r="M382" s="1213">
        <f t="shared" si="55"/>
        <v>1.08126375</v>
      </c>
      <c r="N382" s="145"/>
      <c r="O382" s="145"/>
      <c r="P382" s="145"/>
      <c r="Q382" s="1681"/>
      <c r="R382" s="1683"/>
      <c r="S382" s="1671"/>
      <c r="T382" s="1199" t="s">
        <v>215</v>
      </c>
      <c r="U382" s="1198">
        <v>0.86</v>
      </c>
      <c r="V382" s="1198">
        <v>0.75</v>
      </c>
      <c r="W382" s="1198">
        <v>0.75</v>
      </c>
      <c r="X382" s="1198">
        <v>1</v>
      </c>
      <c r="Y382" s="1198">
        <v>0.1</v>
      </c>
      <c r="Z382" s="1198">
        <f>'[2]3.Hd'!$E$404</f>
        <v>2.2075</v>
      </c>
      <c r="AA382" s="512">
        <f t="shared" si="54"/>
        <v>1.4900625000000001</v>
      </c>
      <c r="AB382" s="145"/>
      <c r="AC382" s="145"/>
      <c r="AD382" s="145"/>
      <c r="AE382" s="145"/>
      <c r="AF382" s="41"/>
      <c r="AG382" s="41"/>
      <c r="BH382" s="1201"/>
      <c r="BI382" s="1205"/>
      <c r="BJ382" s="1206"/>
      <c r="BK382" s="145"/>
      <c r="BL382" s="145"/>
      <c r="BN382" s="1485"/>
      <c r="BO382" s="1482"/>
      <c r="BP382" s="1193"/>
      <c r="BQ382" s="1190"/>
      <c r="BS382" s="14"/>
      <c r="BT382" s="1201"/>
      <c r="CD382" s="9"/>
      <c r="CE382" s="9"/>
      <c r="CF382" s="145"/>
      <c r="CG382" s="9"/>
      <c r="CH382" s="9"/>
      <c r="CI382" s="9"/>
      <c r="CJ382" s="9"/>
      <c r="CK382" s="9"/>
      <c r="CL382" s="9"/>
      <c r="CM382" s="9"/>
      <c r="CN382" s="9"/>
      <c r="CO382" s="9"/>
      <c r="CP382" s="9"/>
      <c r="CQ382" s="9"/>
      <c r="CR382" s="9"/>
      <c r="CS382" s="9"/>
      <c r="CT382" s="145"/>
      <c r="CU382" s="9"/>
      <c r="CV382" s="9"/>
      <c r="CW382" s="9"/>
      <c r="CX382" s="9"/>
      <c r="CY382" s="9"/>
      <c r="CZ382" s="9"/>
    </row>
    <row r="383" spans="2:104" ht="16">
      <c r="B383" s="14"/>
      <c r="C383" s="1662"/>
      <c r="D383" s="1661"/>
      <c r="E383" s="1679"/>
      <c r="F383" s="1214" t="s">
        <v>215</v>
      </c>
      <c r="G383" s="1213">
        <v>0</v>
      </c>
      <c r="H383" s="1213">
        <v>0.75</v>
      </c>
      <c r="I383" s="1213">
        <v>0.75</v>
      </c>
      <c r="J383" s="1213">
        <v>1</v>
      </c>
      <c r="K383" s="1213">
        <v>0.15</v>
      </c>
      <c r="L383" s="1213">
        <f>'[2]3.Hd'!$E$403</f>
        <v>1.6960999999999999</v>
      </c>
      <c r="M383" s="1213">
        <f t="shared" si="55"/>
        <v>1.08126375</v>
      </c>
      <c r="N383" s="145"/>
      <c r="O383" s="145"/>
      <c r="P383" s="145"/>
      <c r="Q383" s="1681"/>
      <c r="R383" s="1683"/>
      <c r="S383" s="1655" t="s">
        <v>916</v>
      </c>
      <c r="T383" s="1653" t="s">
        <v>24</v>
      </c>
      <c r="U383" s="89" t="s">
        <v>319</v>
      </c>
      <c r="V383" s="89" t="s">
        <v>320</v>
      </c>
      <c r="W383" s="89" t="s">
        <v>321</v>
      </c>
      <c r="X383" s="89" t="s">
        <v>322</v>
      </c>
      <c r="Y383" s="89" t="s">
        <v>323</v>
      </c>
      <c r="Z383" s="89" t="s">
        <v>324</v>
      </c>
      <c r="AA383" s="518" t="s">
        <v>311</v>
      </c>
      <c r="AB383" s="145"/>
      <c r="AC383" s="145"/>
      <c r="AD383" s="145"/>
      <c r="AE383" s="145"/>
      <c r="AF383" s="41"/>
      <c r="AG383" s="41"/>
      <c r="BH383" s="1201"/>
      <c r="BI383" s="1205"/>
      <c r="BJ383" s="1206"/>
      <c r="BK383" s="145"/>
      <c r="BL383" s="145"/>
      <c r="BN383" s="1485"/>
      <c r="BO383" s="1482"/>
      <c r="BP383" s="1191" t="s">
        <v>803</v>
      </c>
      <c r="BQ383" s="1186"/>
      <c r="BS383" s="14"/>
      <c r="BT383" s="1201"/>
      <c r="CD383" s="9"/>
      <c r="CE383" s="9"/>
      <c r="CF383" s="145"/>
      <c r="CG383" s="9"/>
      <c r="CH383" s="9"/>
      <c r="CI383" s="9"/>
      <c r="CJ383" s="9"/>
      <c r="CK383" s="9"/>
      <c r="CL383" s="9"/>
      <c r="CM383" s="9"/>
      <c r="CN383" s="9"/>
      <c r="CO383" s="9"/>
      <c r="CP383" s="9"/>
      <c r="CQ383" s="9"/>
      <c r="CR383" s="9"/>
      <c r="CS383" s="9"/>
      <c r="CT383" s="145"/>
      <c r="CU383" s="9"/>
      <c r="CV383" s="9"/>
      <c r="CW383" s="9"/>
      <c r="CX383" s="9"/>
      <c r="CY383" s="9"/>
      <c r="CZ383" s="9"/>
    </row>
    <row r="384" spans="2:104" ht="16">
      <c r="B384" s="14"/>
      <c r="C384" s="1662"/>
      <c r="D384" s="1661"/>
      <c r="E384" s="1678" t="s">
        <v>906</v>
      </c>
      <c r="F384" s="1653" t="s">
        <v>24</v>
      </c>
      <c r="G384" s="89" t="s">
        <v>319</v>
      </c>
      <c r="H384" s="89" t="s">
        <v>320</v>
      </c>
      <c r="I384" s="89" t="s">
        <v>321</v>
      </c>
      <c r="J384" s="89" t="s">
        <v>322</v>
      </c>
      <c r="K384" s="89" t="s">
        <v>323</v>
      </c>
      <c r="L384" s="89" t="s">
        <v>324</v>
      </c>
      <c r="M384" s="89" t="s">
        <v>311</v>
      </c>
      <c r="N384" s="145"/>
      <c r="O384" s="145"/>
      <c r="P384" s="145"/>
      <c r="Q384" s="1681"/>
      <c r="R384" s="1683"/>
      <c r="S384" s="1656"/>
      <c r="T384" s="1654"/>
      <c r="U384" s="115" t="s">
        <v>24</v>
      </c>
      <c r="V384" s="115" t="s">
        <v>24</v>
      </c>
      <c r="W384" s="115" t="s">
        <v>24</v>
      </c>
      <c r="X384" s="115" t="s">
        <v>24</v>
      </c>
      <c r="Y384" s="115" t="s">
        <v>24</v>
      </c>
      <c r="Z384" s="92" t="s">
        <v>32</v>
      </c>
      <c r="AA384" s="519" t="s">
        <v>32</v>
      </c>
      <c r="AB384" s="145"/>
      <c r="AC384" s="145"/>
      <c r="AD384" s="145"/>
      <c r="AE384" s="145"/>
      <c r="AF384" s="41"/>
      <c r="AG384" s="41"/>
      <c r="BH384" s="1201"/>
      <c r="BI384" s="1205"/>
      <c r="BJ384" s="1206"/>
      <c r="BK384" s="145"/>
      <c r="BL384" s="145"/>
      <c r="BN384" s="1485"/>
      <c r="BO384" s="1482"/>
      <c r="BP384" s="1192"/>
      <c r="BQ384" s="1188"/>
      <c r="BS384" s="14"/>
      <c r="BT384" s="1201"/>
      <c r="CD384" s="9"/>
      <c r="CE384" s="9"/>
      <c r="CF384" s="145"/>
      <c r="CG384" s="9"/>
      <c r="CH384" s="9"/>
      <c r="CI384" s="9"/>
      <c r="CJ384" s="9"/>
      <c r="CK384" s="9"/>
      <c r="CL384" s="9"/>
      <c r="CM384" s="9"/>
      <c r="CN384" s="9"/>
      <c r="CO384" s="9"/>
      <c r="CP384" s="9"/>
      <c r="CQ384" s="9"/>
      <c r="CR384" s="9"/>
      <c r="CS384" s="9"/>
      <c r="CT384" s="145"/>
      <c r="CU384" s="9"/>
      <c r="CV384" s="9"/>
      <c r="CW384" s="9"/>
      <c r="CX384" s="9"/>
      <c r="CY384" s="9"/>
      <c r="CZ384" s="9"/>
    </row>
    <row r="385" spans="2:104">
      <c r="B385" s="14"/>
      <c r="C385" s="1662"/>
      <c r="D385" s="1661"/>
      <c r="E385" s="1678"/>
      <c r="F385" s="1654"/>
      <c r="G385" s="115" t="s">
        <v>24</v>
      </c>
      <c r="H385" s="115" t="s">
        <v>24</v>
      </c>
      <c r="I385" s="115" t="s">
        <v>24</v>
      </c>
      <c r="J385" s="115" t="s">
        <v>24</v>
      </c>
      <c r="K385" s="115" t="s">
        <v>24</v>
      </c>
      <c r="L385" s="92" t="s">
        <v>32</v>
      </c>
      <c r="M385" s="92" t="s">
        <v>32</v>
      </c>
      <c r="N385" s="145"/>
      <c r="O385" s="145"/>
      <c r="P385" s="145"/>
      <c r="Q385" s="1681"/>
      <c r="R385" s="1683"/>
      <c r="S385" s="1656"/>
      <c r="T385" s="1199" t="s">
        <v>204</v>
      </c>
      <c r="U385" s="1198">
        <v>0.81</v>
      </c>
      <c r="V385" s="1198">
        <v>0.75</v>
      </c>
      <c r="W385" s="1198">
        <v>0.75</v>
      </c>
      <c r="X385" s="1198">
        <v>1</v>
      </c>
      <c r="Y385" s="1198">
        <v>0.1</v>
      </c>
      <c r="Z385" s="1198">
        <f>'[2]3.Hd'!$E$404</f>
        <v>2.2075</v>
      </c>
      <c r="AA385" s="512">
        <f t="shared" ref="AA385:AA396" si="56">X385*V385*(1-Y385)*Z385</f>
        <v>1.4900625000000001</v>
      </c>
      <c r="AB385" s="145"/>
      <c r="AC385" s="145"/>
      <c r="AD385" s="145"/>
      <c r="AE385" s="145"/>
      <c r="AF385" s="41"/>
      <c r="AG385" s="41"/>
      <c r="BH385" s="1201"/>
      <c r="BI385" s="1205"/>
      <c r="BJ385" s="1206"/>
      <c r="BK385" s="145"/>
      <c r="BL385" s="145"/>
      <c r="BN385" s="1485"/>
      <c r="BO385" s="1482"/>
      <c r="BP385" s="1193"/>
      <c r="BQ385" s="1190"/>
      <c r="BS385" s="14"/>
      <c r="BT385" s="1201"/>
      <c r="CD385" s="9"/>
      <c r="CE385" s="9"/>
      <c r="CF385" s="145"/>
      <c r="CG385" s="9"/>
      <c r="CH385" s="9"/>
      <c r="CI385" s="9"/>
      <c r="CJ385" s="9"/>
      <c r="CK385" s="9"/>
      <c r="CL385" s="9"/>
      <c r="CM385" s="9"/>
      <c r="CN385" s="9"/>
      <c r="CO385" s="9"/>
      <c r="CP385" s="9"/>
      <c r="CQ385" s="9"/>
      <c r="CR385" s="9"/>
      <c r="CS385" s="9"/>
      <c r="CT385" s="145"/>
      <c r="CU385" s="9"/>
      <c r="CV385" s="9"/>
      <c r="CW385" s="9"/>
      <c r="CX385" s="9"/>
      <c r="CY385" s="9"/>
      <c r="CZ385" s="9"/>
    </row>
    <row r="386" spans="2:104" ht="15" customHeight="1">
      <c r="B386" s="14"/>
      <c r="C386" s="1662"/>
      <c r="D386" s="1661"/>
      <c r="E386" s="1678"/>
      <c r="F386" s="1214" t="s">
        <v>204</v>
      </c>
      <c r="G386" s="1213">
        <v>0</v>
      </c>
      <c r="H386" s="1213">
        <v>0.75</v>
      </c>
      <c r="I386" s="1213">
        <v>0.75</v>
      </c>
      <c r="J386" s="1213">
        <v>1</v>
      </c>
      <c r="K386" s="1213">
        <v>0.15</v>
      </c>
      <c r="L386" s="1213">
        <f>'[2]3.Hd'!$E$403</f>
        <v>1.6960999999999999</v>
      </c>
      <c r="M386" s="1213">
        <f t="shared" ref="M386:M397" si="57">J386*H386*(1-K386)*L386</f>
        <v>1.08126375</v>
      </c>
      <c r="N386" s="17"/>
      <c r="O386" s="380"/>
      <c r="P386" s="380"/>
      <c r="Q386" s="1681"/>
      <c r="R386" s="1683"/>
      <c r="S386" s="1656"/>
      <c r="T386" s="1199" t="s">
        <v>205</v>
      </c>
      <c r="U386" s="1198">
        <v>0.82</v>
      </c>
      <c r="V386" s="1198">
        <v>0.75</v>
      </c>
      <c r="W386" s="1198">
        <v>0.75</v>
      </c>
      <c r="X386" s="1198">
        <v>1</v>
      </c>
      <c r="Y386" s="1198">
        <v>0.1</v>
      </c>
      <c r="Z386" s="1198">
        <f>'[2]3.Hd'!$E$404</f>
        <v>2.2075</v>
      </c>
      <c r="AA386" s="512">
        <f t="shared" si="56"/>
        <v>1.4900625000000001</v>
      </c>
      <c r="AB386" s="145"/>
      <c r="AC386" s="145"/>
      <c r="AD386" s="145"/>
      <c r="AE386" s="145"/>
      <c r="AF386" s="41"/>
      <c r="AG386" s="41"/>
      <c r="BH386" s="1201"/>
      <c r="BI386" s="1205"/>
      <c r="BJ386" s="1206"/>
      <c r="BK386" s="145"/>
      <c r="BL386" s="145"/>
      <c r="BN386" s="1485"/>
      <c r="BO386" s="1482"/>
      <c r="BP386" s="1191" t="s">
        <v>802</v>
      </c>
      <c r="BQ386" s="1186"/>
      <c r="BS386" s="14"/>
      <c r="BT386" s="1201"/>
      <c r="CD386" s="9"/>
      <c r="CE386" s="9"/>
      <c r="CF386" s="145"/>
      <c r="CG386" s="9"/>
      <c r="CH386" s="9"/>
      <c r="CI386" s="9"/>
      <c r="CJ386" s="9"/>
      <c r="CK386" s="9"/>
      <c r="CL386" s="9"/>
      <c r="CM386" s="9"/>
      <c r="CN386" s="9"/>
      <c r="CO386" s="9"/>
      <c r="CP386" s="9"/>
      <c r="CQ386" s="9"/>
      <c r="CR386" s="9"/>
      <c r="CS386" s="9"/>
      <c r="CT386" s="145"/>
      <c r="CU386" s="9"/>
      <c r="CV386" s="9"/>
      <c r="CW386" s="9"/>
      <c r="CX386" s="9"/>
      <c r="CY386" s="9"/>
      <c r="CZ386" s="9"/>
    </row>
    <row r="387" spans="2:104">
      <c r="B387" s="14"/>
      <c r="C387" s="1662"/>
      <c r="D387" s="1661"/>
      <c r="E387" s="1678"/>
      <c r="F387" s="1214" t="s">
        <v>205</v>
      </c>
      <c r="G387" s="1213">
        <v>0</v>
      </c>
      <c r="H387" s="1213">
        <v>0.75</v>
      </c>
      <c r="I387" s="1213">
        <v>0.75</v>
      </c>
      <c r="J387" s="1213">
        <v>1</v>
      </c>
      <c r="K387" s="1213">
        <v>0.15</v>
      </c>
      <c r="L387" s="1213">
        <f>'[2]3.Hd'!$E$403</f>
        <v>1.6960999999999999</v>
      </c>
      <c r="M387" s="1213">
        <f t="shared" si="57"/>
        <v>1.08126375</v>
      </c>
      <c r="N387" s="17"/>
      <c r="O387" s="145"/>
      <c r="P387" s="145"/>
      <c r="Q387" s="1681"/>
      <c r="R387" s="1683"/>
      <c r="S387" s="1656"/>
      <c r="T387" s="1199" t="s">
        <v>206</v>
      </c>
      <c r="U387" s="1198">
        <v>0.81</v>
      </c>
      <c r="V387" s="1198">
        <v>0.75</v>
      </c>
      <c r="W387" s="1198">
        <v>0.75</v>
      </c>
      <c r="X387" s="1198">
        <v>1</v>
      </c>
      <c r="Y387" s="1198">
        <v>0.1</v>
      </c>
      <c r="Z387" s="1198">
        <f>'[2]3.Hd'!$E$404</f>
        <v>2.2075</v>
      </c>
      <c r="AA387" s="512">
        <f t="shared" si="56"/>
        <v>1.4900625000000001</v>
      </c>
      <c r="AB387" s="145"/>
      <c r="AC387" s="145"/>
      <c r="AD387" s="145"/>
      <c r="AE387" s="145"/>
      <c r="AF387" s="41"/>
      <c r="AG387" s="41"/>
      <c r="BH387" s="1201"/>
      <c r="BI387" s="1205"/>
      <c r="BJ387" s="1206"/>
      <c r="BK387" s="145"/>
      <c r="BL387" s="145"/>
      <c r="BN387" s="1485"/>
      <c r="BO387" s="1482"/>
      <c r="BP387" s="1192"/>
      <c r="BQ387" s="1188"/>
      <c r="BS387" s="14"/>
      <c r="BT387" s="1201"/>
      <c r="CD387" s="9"/>
      <c r="CE387" s="9"/>
      <c r="CF387" s="145"/>
      <c r="CG387" s="9"/>
      <c r="CH387" s="9"/>
      <c r="CI387" s="9"/>
      <c r="CJ387" s="9"/>
      <c r="CK387" s="9"/>
      <c r="CL387" s="9"/>
      <c r="CM387" s="9"/>
      <c r="CN387" s="9"/>
      <c r="CO387" s="9"/>
      <c r="CP387" s="9"/>
      <c r="CQ387" s="9"/>
      <c r="CR387" s="9"/>
      <c r="CS387" s="9"/>
      <c r="CT387" s="145"/>
      <c r="CU387" s="9"/>
      <c r="CV387" s="9"/>
      <c r="CW387" s="9"/>
      <c r="CX387" s="9"/>
      <c r="CY387" s="9"/>
      <c r="CZ387" s="9"/>
    </row>
    <row r="388" spans="2:104">
      <c r="B388" s="14"/>
      <c r="C388" s="1662"/>
      <c r="D388" s="1661"/>
      <c r="E388" s="1678"/>
      <c r="F388" s="1214" t="s">
        <v>206</v>
      </c>
      <c r="G388" s="1213">
        <v>0</v>
      </c>
      <c r="H388" s="1213">
        <v>0.75</v>
      </c>
      <c r="I388" s="1213">
        <v>0.75</v>
      </c>
      <c r="J388" s="1213">
        <v>1</v>
      </c>
      <c r="K388" s="1213">
        <v>0.15</v>
      </c>
      <c r="L388" s="1213">
        <f>'[2]3.Hd'!$E$403</f>
        <v>1.6960999999999999</v>
      </c>
      <c r="M388" s="1213">
        <f t="shared" si="57"/>
        <v>1.08126375</v>
      </c>
      <c r="N388" s="145"/>
      <c r="O388" s="145"/>
      <c r="P388" s="145"/>
      <c r="Q388" s="1681"/>
      <c r="R388" s="1683"/>
      <c r="S388" s="1656"/>
      <c r="T388" s="1199" t="s">
        <v>207</v>
      </c>
      <c r="U388" s="1198">
        <v>0.74</v>
      </c>
      <c r="V388" s="1198">
        <v>0.75</v>
      </c>
      <c r="W388" s="1198">
        <v>0.75</v>
      </c>
      <c r="X388" s="1198">
        <v>1</v>
      </c>
      <c r="Y388" s="1198">
        <v>0.1</v>
      </c>
      <c r="Z388" s="1198">
        <f>'[2]3.Hd'!$E$404</f>
        <v>2.2075</v>
      </c>
      <c r="AA388" s="512">
        <f t="shared" si="56"/>
        <v>1.4900625000000001</v>
      </c>
      <c r="AB388" s="145"/>
      <c r="AC388" s="145"/>
      <c r="AD388" s="145"/>
      <c r="AE388" s="145"/>
      <c r="AF388" s="41"/>
      <c r="AG388" s="41"/>
      <c r="BH388" s="1201"/>
      <c r="BI388" s="1205"/>
      <c r="BJ388" s="1206"/>
      <c r="BK388" s="145"/>
      <c r="BL388" s="145"/>
      <c r="BN388" s="1485"/>
      <c r="BO388" s="1482"/>
      <c r="BP388" s="1192"/>
      <c r="BQ388" s="853" t="s">
        <v>858</v>
      </c>
      <c r="BS388" s="14"/>
      <c r="BT388" s="1201"/>
      <c r="CD388" s="9"/>
      <c r="CE388" s="9"/>
      <c r="CF388" s="145"/>
      <c r="CG388" s="9"/>
      <c r="CH388" s="9"/>
      <c r="CI388" s="9"/>
      <c r="CJ388" s="9"/>
      <c r="CK388" s="9"/>
      <c r="CL388" s="9"/>
      <c r="CM388" s="9"/>
      <c r="CN388" s="9"/>
      <c r="CO388" s="9"/>
      <c r="CP388" s="9"/>
      <c r="CQ388" s="9"/>
      <c r="CR388" s="9"/>
      <c r="CS388" s="9"/>
      <c r="CT388" s="145"/>
      <c r="CU388" s="9"/>
      <c r="CV388" s="9"/>
      <c r="CW388" s="9"/>
      <c r="CX388" s="9"/>
      <c r="CY388" s="9"/>
      <c r="CZ388" s="9"/>
    </row>
    <row r="389" spans="2:104">
      <c r="B389" s="14"/>
      <c r="C389" s="1662"/>
      <c r="D389" s="1661"/>
      <c r="E389" s="1678"/>
      <c r="F389" s="1214" t="s">
        <v>207</v>
      </c>
      <c r="G389" s="1213">
        <v>0</v>
      </c>
      <c r="H389" s="1213">
        <v>0.75</v>
      </c>
      <c r="I389" s="1213">
        <v>0.75</v>
      </c>
      <c r="J389" s="1213">
        <v>1</v>
      </c>
      <c r="K389" s="1213">
        <v>0.15</v>
      </c>
      <c r="L389" s="1213">
        <f>'[2]3.Hd'!$E$403</f>
        <v>1.6960999999999999</v>
      </c>
      <c r="M389" s="1213">
        <f t="shared" si="57"/>
        <v>1.08126375</v>
      </c>
      <c r="N389" s="145"/>
      <c r="O389" s="145"/>
      <c r="P389" s="145"/>
      <c r="Q389" s="1681"/>
      <c r="R389" s="1683"/>
      <c r="S389" s="1656"/>
      <c r="T389" s="1199" t="s">
        <v>208</v>
      </c>
      <c r="U389" s="1198">
        <v>0.62</v>
      </c>
      <c r="V389" s="1198">
        <v>0.75</v>
      </c>
      <c r="W389" s="1198">
        <v>0.75</v>
      </c>
      <c r="X389" s="1198">
        <v>1</v>
      </c>
      <c r="Y389" s="1198">
        <v>0.1</v>
      </c>
      <c r="Z389" s="1198">
        <f>'[2]3.Hd'!$E$404</f>
        <v>2.2075</v>
      </c>
      <c r="AA389" s="512">
        <f t="shared" si="56"/>
        <v>1.4900625000000001</v>
      </c>
      <c r="AB389" s="145"/>
      <c r="AC389" s="145"/>
      <c r="AD389" s="145"/>
      <c r="AE389" s="145"/>
      <c r="AF389" s="41"/>
      <c r="AG389" s="41"/>
      <c r="BH389" s="1201"/>
      <c r="BI389" s="1205"/>
      <c r="BJ389" s="1206"/>
      <c r="BK389" s="145"/>
      <c r="BL389" s="145"/>
      <c r="BN389" s="1485"/>
      <c r="BO389" s="1482"/>
      <c r="BP389" s="1193"/>
      <c r="BQ389" s="852" t="s">
        <v>631</v>
      </c>
      <c r="BS389" s="14"/>
      <c r="BT389" s="1201"/>
      <c r="CD389" s="9"/>
      <c r="CE389" s="9"/>
      <c r="CF389" s="145"/>
      <c r="CG389" s="9"/>
      <c r="CH389" s="9"/>
      <c r="CI389" s="9"/>
      <c r="CJ389" s="9"/>
      <c r="CK389" s="9"/>
      <c r="CL389" s="9"/>
      <c r="CM389" s="9"/>
      <c r="CN389" s="9"/>
      <c r="CO389" s="9"/>
      <c r="CP389" s="9"/>
      <c r="CQ389" s="9"/>
      <c r="CR389" s="9"/>
      <c r="CS389" s="9"/>
      <c r="CT389" s="145"/>
      <c r="CU389" s="9"/>
      <c r="CV389" s="9"/>
      <c r="CW389" s="9"/>
      <c r="CX389" s="9"/>
      <c r="CY389" s="9"/>
      <c r="CZ389" s="9"/>
    </row>
    <row r="390" spans="2:104">
      <c r="B390" s="14"/>
      <c r="C390" s="1662"/>
      <c r="D390" s="1661"/>
      <c r="E390" s="1678"/>
      <c r="F390" s="1214" t="s">
        <v>208</v>
      </c>
      <c r="G390" s="1213">
        <v>0</v>
      </c>
      <c r="H390" s="1213">
        <v>0.75</v>
      </c>
      <c r="I390" s="1213">
        <v>0.75</v>
      </c>
      <c r="J390" s="1213">
        <v>1</v>
      </c>
      <c r="K390" s="1213">
        <v>0.15</v>
      </c>
      <c r="L390" s="1213">
        <f>'[2]3.Hd'!$E$403</f>
        <v>1.6960999999999999</v>
      </c>
      <c r="M390" s="1213">
        <f t="shared" si="57"/>
        <v>1.08126375</v>
      </c>
      <c r="N390" s="145"/>
      <c r="O390" s="145"/>
      <c r="P390" s="145"/>
      <c r="Q390" s="1681"/>
      <c r="R390" s="1683"/>
      <c r="S390" s="1656"/>
      <c r="T390" s="1199" t="s">
        <v>209</v>
      </c>
      <c r="U390" s="1198">
        <v>0.56000000000000005</v>
      </c>
      <c r="V390" s="1198">
        <v>0.75</v>
      </c>
      <c r="W390" s="1198">
        <v>0.75</v>
      </c>
      <c r="X390" s="1198">
        <v>1</v>
      </c>
      <c r="Y390" s="1198">
        <v>0.1</v>
      </c>
      <c r="Z390" s="1198">
        <f>'[2]3.Hd'!$E$404</f>
        <v>2.2075</v>
      </c>
      <c r="AA390" s="512">
        <f t="shared" si="56"/>
        <v>1.4900625000000001</v>
      </c>
      <c r="AB390" s="145"/>
      <c r="AC390" s="145"/>
      <c r="AD390" s="145"/>
      <c r="AE390" s="145"/>
      <c r="AF390" s="41"/>
      <c r="AG390" s="41"/>
      <c r="BH390" s="1201"/>
      <c r="BI390" s="1205"/>
      <c r="BJ390" s="1206"/>
      <c r="BK390" s="145"/>
      <c r="BL390" s="145"/>
      <c r="BN390" s="1485"/>
      <c r="BO390" s="1482"/>
      <c r="BP390" s="1192" t="s">
        <v>587</v>
      </c>
      <c r="BQ390" s="1188"/>
      <c r="BS390" s="14"/>
      <c r="BT390" s="1201"/>
      <c r="CD390" s="9"/>
      <c r="CE390" s="9"/>
      <c r="CF390" s="145"/>
      <c r="CG390" s="9"/>
      <c r="CH390" s="9"/>
      <c r="CI390" s="9"/>
      <c r="CJ390" s="9"/>
      <c r="CK390" s="9"/>
      <c r="CL390" s="9"/>
      <c r="CM390" s="9"/>
      <c r="CN390" s="9"/>
      <c r="CO390" s="9"/>
      <c r="CP390" s="9"/>
      <c r="CQ390" s="9"/>
      <c r="CR390" s="9"/>
      <c r="CS390" s="9"/>
      <c r="CT390" s="145"/>
      <c r="CU390" s="9"/>
      <c r="CV390" s="9"/>
      <c r="CW390" s="9"/>
      <c r="CX390" s="9"/>
      <c r="CY390" s="9"/>
      <c r="CZ390" s="9"/>
    </row>
    <row r="391" spans="2:104">
      <c r="B391" s="14"/>
      <c r="C391" s="1662"/>
      <c r="D391" s="1661"/>
      <c r="E391" s="1678"/>
      <c r="F391" s="1214" t="s">
        <v>209</v>
      </c>
      <c r="G391" s="1213">
        <v>0</v>
      </c>
      <c r="H391" s="1213">
        <v>0.75</v>
      </c>
      <c r="I391" s="1213">
        <v>0.75</v>
      </c>
      <c r="J391" s="1213">
        <v>1</v>
      </c>
      <c r="K391" s="1213">
        <v>0.15</v>
      </c>
      <c r="L391" s="1213">
        <f>'[2]3.Hd'!$E$403</f>
        <v>1.6960999999999999</v>
      </c>
      <c r="M391" s="1213">
        <f t="shared" si="57"/>
        <v>1.08126375</v>
      </c>
      <c r="N391" s="145"/>
      <c r="O391" s="145"/>
      <c r="P391" s="145"/>
      <c r="Q391" s="1681"/>
      <c r="R391" s="1683"/>
      <c r="S391" s="1656"/>
      <c r="T391" s="1199" t="s">
        <v>210</v>
      </c>
      <c r="U391" s="1198">
        <v>0.62</v>
      </c>
      <c r="V391" s="1198">
        <v>0.75</v>
      </c>
      <c r="W391" s="1198">
        <v>0.75</v>
      </c>
      <c r="X391" s="1198">
        <v>1</v>
      </c>
      <c r="Y391" s="1198">
        <v>0.1</v>
      </c>
      <c r="Z391" s="1198">
        <f>'[2]3.Hd'!$E$404</f>
        <v>2.2075</v>
      </c>
      <c r="AA391" s="512">
        <f t="shared" si="56"/>
        <v>1.4900625000000001</v>
      </c>
      <c r="AB391" s="145"/>
      <c r="AC391" s="145"/>
      <c r="AD391" s="145"/>
      <c r="AE391" s="145"/>
      <c r="AF391" s="41"/>
      <c r="AG391" s="41"/>
      <c r="BH391" s="1201"/>
      <c r="BI391" s="1205"/>
      <c r="BJ391" s="1206"/>
      <c r="BK391" s="145"/>
      <c r="BL391" s="145"/>
      <c r="BN391" s="1485"/>
      <c r="BO391" s="1482"/>
      <c r="BP391" s="1192"/>
      <c r="BQ391" s="1188"/>
      <c r="BS391" s="14"/>
      <c r="BT391" s="1201"/>
      <c r="CD391" s="9"/>
      <c r="CE391" s="9"/>
      <c r="CF391" s="145"/>
      <c r="CG391" s="9"/>
      <c r="CH391" s="9"/>
      <c r="CI391" s="9"/>
      <c r="CJ391" s="9"/>
      <c r="CK391" s="9"/>
      <c r="CL391" s="9"/>
      <c r="CM391" s="9"/>
      <c r="CN391" s="9"/>
      <c r="CO391" s="9"/>
      <c r="CP391" s="9"/>
      <c r="CQ391" s="9"/>
      <c r="CR391" s="9"/>
      <c r="CS391" s="9"/>
      <c r="CT391" s="145"/>
      <c r="CU391" s="9"/>
      <c r="CV391" s="9"/>
      <c r="CW391" s="9"/>
      <c r="CX391" s="9"/>
      <c r="CY391" s="9"/>
      <c r="CZ391" s="9"/>
    </row>
    <row r="392" spans="2:104">
      <c r="B392" s="14"/>
      <c r="C392" s="1662"/>
      <c r="D392" s="1661"/>
      <c r="E392" s="1678"/>
      <c r="F392" s="1214" t="s">
        <v>210</v>
      </c>
      <c r="G392" s="1213">
        <v>0</v>
      </c>
      <c r="H392" s="1213">
        <v>0.75</v>
      </c>
      <c r="I392" s="1213">
        <v>0.75</v>
      </c>
      <c r="J392" s="1213">
        <v>1</v>
      </c>
      <c r="K392" s="1213">
        <v>0.15</v>
      </c>
      <c r="L392" s="1213">
        <f>'[2]3.Hd'!$E$403</f>
        <v>1.6960999999999999</v>
      </c>
      <c r="M392" s="1213">
        <f t="shared" si="57"/>
        <v>1.08126375</v>
      </c>
      <c r="N392" s="145"/>
      <c r="O392" s="145"/>
      <c r="P392" s="145"/>
      <c r="Q392" s="1681"/>
      <c r="R392" s="1683"/>
      <c r="S392" s="1656"/>
      <c r="T392" s="1199" t="s">
        <v>211</v>
      </c>
      <c r="U392" s="1198">
        <v>0.76</v>
      </c>
      <c r="V392" s="1198">
        <v>0.75</v>
      </c>
      <c r="W392" s="1198">
        <v>0.75</v>
      </c>
      <c r="X392" s="1198">
        <v>1</v>
      </c>
      <c r="Y392" s="1198">
        <v>0.1</v>
      </c>
      <c r="Z392" s="1198">
        <f>'[2]3.Hd'!$E$404</f>
        <v>2.2075</v>
      </c>
      <c r="AA392" s="512">
        <f t="shared" si="56"/>
        <v>1.4900625000000001</v>
      </c>
      <c r="AB392" s="145"/>
      <c r="AC392" s="145"/>
      <c r="AD392" s="145"/>
      <c r="AE392" s="145"/>
      <c r="AF392" s="41"/>
      <c r="AG392" s="41"/>
      <c r="BH392" s="1201"/>
      <c r="BI392" s="1205"/>
      <c r="BJ392" s="1206"/>
      <c r="BK392" s="145"/>
      <c r="BL392" s="145"/>
      <c r="BN392" s="1485"/>
      <c r="BO392" s="1482"/>
      <c r="BP392" s="1193"/>
      <c r="BQ392" s="854" t="s">
        <v>859</v>
      </c>
      <c r="BS392" s="14"/>
      <c r="BT392" s="1201"/>
      <c r="CD392" s="9"/>
      <c r="CE392" s="9"/>
      <c r="CF392" s="145"/>
      <c r="CG392" s="9"/>
      <c r="CH392" s="9"/>
      <c r="CI392" s="9"/>
      <c r="CJ392" s="9"/>
      <c r="CK392" s="9"/>
      <c r="CL392" s="9"/>
      <c r="CM392" s="9"/>
      <c r="CN392" s="9"/>
      <c r="CO392" s="9"/>
      <c r="CP392" s="9"/>
      <c r="CQ392" s="9"/>
      <c r="CR392" s="9"/>
      <c r="CS392" s="9"/>
      <c r="CT392" s="145"/>
      <c r="CU392" s="9"/>
      <c r="CV392" s="9"/>
      <c r="CW392" s="9"/>
      <c r="CX392" s="9"/>
      <c r="CY392" s="9"/>
      <c r="CZ392" s="9"/>
    </row>
    <row r="393" spans="2:104" ht="18" customHeight="1">
      <c r="B393" s="14"/>
      <c r="C393" s="1662"/>
      <c r="D393" s="1661"/>
      <c r="E393" s="1678"/>
      <c r="F393" s="1214" t="s">
        <v>211</v>
      </c>
      <c r="G393" s="1213">
        <v>0</v>
      </c>
      <c r="H393" s="1213">
        <v>0.75</v>
      </c>
      <c r="I393" s="1213">
        <v>0.75</v>
      </c>
      <c r="J393" s="1213">
        <v>1</v>
      </c>
      <c r="K393" s="1213">
        <v>0.15</v>
      </c>
      <c r="L393" s="1213">
        <f>'[2]3.Hd'!$E$403</f>
        <v>1.6960999999999999</v>
      </c>
      <c r="M393" s="1213">
        <f t="shared" si="57"/>
        <v>1.08126375</v>
      </c>
      <c r="N393" s="145"/>
      <c r="O393" s="145"/>
      <c r="P393" s="145"/>
      <c r="Q393" s="1681"/>
      <c r="R393" s="1683"/>
      <c r="S393" s="1656"/>
      <c r="T393" s="1199" t="s">
        <v>212</v>
      </c>
      <c r="U393" s="1198">
        <v>0.82</v>
      </c>
      <c r="V393" s="1198">
        <v>0.75</v>
      </c>
      <c r="W393" s="1198">
        <v>0.75</v>
      </c>
      <c r="X393" s="1198">
        <v>1</v>
      </c>
      <c r="Y393" s="1198">
        <v>0.1</v>
      </c>
      <c r="Z393" s="1198">
        <f>'[2]3.Hd'!$E$404</f>
        <v>2.2075</v>
      </c>
      <c r="AA393" s="512">
        <f t="shared" si="56"/>
        <v>1.4900625000000001</v>
      </c>
      <c r="AB393" s="1219"/>
      <c r="AC393" s="1219"/>
      <c r="AD393" s="1219"/>
      <c r="AE393" s="1219"/>
      <c r="AF393" s="41"/>
      <c r="AG393" s="41"/>
      <c r="BH393" s="1201"/>
      <c r="BI393" s="1205"/>
      <c r="BJ393" s="1206"/>
      <c r="BK393" s="145"/>
      <c r="BL393" s="145"/>
      <c r="BN393" s="1485"/>
      <c r="BO393" s="1482"/>
      <c r="BP393" s="1191" t="s">
        <v>20</v>
      </c>
      <c r="BQ393" s="1186"/>
      <c r="BS393" s="14"/>
      <c r="BT393" s="1201"/>
      <c r="CD393" s="9"/>
      <c r="CE393" s="9"/>
      <c r="CF393" s="145"/>
      <c r="CG393" s="9"/>
      <c r="CH393" s="9"/>
      <c r="CI393" s="9"/>
      <c r="CJ393" s="9"/>
      <c r="CK393" s="9"/>
      <c r="CL393" s="9"/>
      <c r="CM393" s="9"/>
      <c r="CN393" s="9"/>
      <c r="CO393" s="9"/>
      <c r="CP393" s="9"/>
      <c r="CQ393" s="9"/>
      <c r="CR393" s="9"/>
      <c r="CS393" s="9"/>
      <c r="CT393" s="145"/>
      <c r="CU393" s="9"/>
      <c r="CV393" s="9"/>
      <c r="CW393" s="9"/>
      <c r="CX393" s="9"/>
      <c r="CY393" s="9"/>
      <c r="CZ393" s="9"/>
    </row>
    <row r="394" spans="2:104" ht="18" customHeight="1">
      <c r="B394" s="14"/>
      <c r="C394" s="1662"/>
      <c r="D394" s="1661"/>
      <c r="E394" s="1678"/>
      <c r="F394" s="1214" t="s">
        <v>212</v>
      </c>
      <c r="G394" s="1213">
        <v>0</v>
      </c>
      <c r="H394" s="1213">
        <v>0.75</v>
      </c>
      <c r="I394" s="1213">
        <v>0.75</v>
      </c>
      <c r="J394" s="1213">
        <v>1</v>
      </c>
      <c r="K394" s="1213">
        <v>0.15</v>
      </c>
      <c r="L394" s="1213">
        <f>'[2]3.Hd'!$E$403</f>
        <v>1.6960999999999999</v>
      </c>
      <c r="M394" s="1213">
        <f t="shared" si="57"/>
        <v>1.08126375</v>
      </c>
      <c r="N394" s="145"/>
      <c r="O394" s="145"/>
      <c r="P394" s="145"/>
      <c r="Q394" s="1681"/>
      <c r="R394" s="1683"/>
      <c r="S394" s="1656"/>
      <c r="T394" s="1199" t="s">
        <v>213</v>
      </c>
      <c r="U394" s="1198">
        <v>0.86</v>
      </c>
      <c r="V394" s="1198">
        <v>0.75</v>
      </c>
      <c r="W394" s="1198">
        <v>0.75</v>
      </c>
      <c r="X394" s="1198">
        <v>1</v>
      </c>
      <c r="Y394" s="1198">
        <v>0.1</v>
      </c>
      <c r="Z394" s="1198">
        <f>'[2]3.Hd'!$E$404</f>
        <v>2.2075</v>
      </c>
      <c r="AA394" s="512">
        <f t="shared" si="56"/>
        <v>1.4900625000000001</v>
      </c>
      <c r="AB394" s="1219"/>
      <c r="AC394" s="1219"/>
      <c r="AD394" s="1219"/>
      <c r="AE394" s="1219"/>
      <c r="AF394" s="41"/>
      <c r="AG394" s="41"/>
      <c r="BH394" s="1201"/>
      <c r="BI394" s="1205"/>
      <c r="BJ394" s="1206"/>
      <c r="BK394" s="18"/>
      <c r="BL394" s="380"/>
      <c r="BN394" s="1485"/>
      <c r="BO394" s="1482"/>
      <c r="BP394" s="1194"/>
      <c r="BQ394" s="1188"/>
      <c r="BS394" s="380"/>
      <c r="BT394" s="1201"/>
      <c r="CD394" s="9"/>
      <c r="CE394" s="9"/>
      <c r="CF394" s="380"/>
      <c r="CG394" s="9"/>
      <c r="CH394" s="9"/>
      <c r="CI394" s="9"/>
      <c r="CJ394" s="9"/>
      <c r="CK394" s="9"/>
      <c r="CL394" s="9"/>
      <c r="CM394" s="9"/>
      <c r="CN394" s="9"/>
      <c r="CO394" s="9"/>
      <c r="CP394" s="9"/>
      <c r="CQ394" s="9"/>
      <c r="CR394" s="9"/>
      <c r="CS394" s="9"/>
      <c r="CT394" s="380"/>
      <c r="CU394" s="9"/>
      <c r="CV394" s="9"/>
      <c r="CW394" s="9"/>
      <c r="CX394" s="9"/>
      <c r="CY394" s="9"/>
      <c r="CZ394" s="9"/>
    </row>
    <row r="395" spans="2:104" ht="15" customHeight="1">
      <c r="B395" s="14"/>
      <c r="C395" s="1662"/>
      <c r="D395" s="1661"/>
      <c r="E395" s="1678"/>
      <c r="F395" s="1214" t="s">
        <v>213</v>
      </c>
      <c r="G395" s="1213">
        <v>0</v>
      </c>
      <c r="H395" s="1213">
        <v>0.75</v>
      </c>
      <c r="I395" s="1213">
        <v>0.75</v>
      </c>
      <c r="J395" s="1213">
        <v>1</v>
      </c>
      <c r="K395" s="1213">
        <v>0.15</v>
      </c>
      <c r="L395" s="1213">
        <f>'[2]3.Hd'!$E$403</f>
        <v>1.6960999999999999</v>
      </c>
      <c r="M395" s="1213">
        <f t="shared" si="57"/>
        <v>1.08126375</v>
      </c>
      <c r="N395" s="145"/>
      <c r="O395" s="145"/>
      <c r="P395" s="145"/>
      <c r="Q395" s="1681"/>
      <c r="R395" s="1683"/>
      <c r="S395" s="1656"/>
      <c r="T395" s="1199" t="s">
        <v>214</v>
      </c>
      <c r="U395" s="1198">
        <v>0.84</v>
      </c>
      <c r="V395" s="1198">
        <v>0.75</v>
      </c>
      <c r="W395" s="1198">
        <v>0.75</v>
      </c>
      <c r="X395" s="1198">
        <v>1</v>
      </c>
      <c r="Y395" s="1198">
        <v>0.1</v>
      </c>
      <c r="Z395" s="1198">
        <f>'[2]3.Hd'!$E$404</f>
        <v>2.2075</v>
      </c>
      <c r="AA395" s="512">
        <f t="shared" si="56"/>
        <v>1.4900625000000001</v>
      </c>
      <c r="AB395" s="380"/>
      <c r="AC395" s="380"/>
      <c r="AD395" s="380"/>
      <c r="AE395" s="380"/>
      <c r="AF395" s="41"/>
      <c r="AG395" s="41"/>
      <c r="BH395" s="1201"/>
      <c r="BI395" s="1205"/>
      <c r="BJ395" s="1206"/>
      <c r="BK395" s="18"/>
      <c r="BL395" s="145"/>
      <c r="BN395" s="1485"/>
      <c r="BO395" s="1482"/>
      <c r="BP395" s="1194"/>
      <c r="BQ395" s="1188"/>
      <c r="BS395" s="34"/>
      <c r="BT395" s="1201"/>
      <c r="CD395" s="9"/>
      <c r="CE395" s="9"/>
      <c r="CF395" s="145"/>
      <c r="CG395" s="9"/>
      <c r="CH395" s="9"/>
      <c r="CI395" s="9"/>
      <c r="CJ395" s="9"/>
      <c r="CK395" s="9"/>
      <c r="CL395" s="9"/>
      <c r="CM395" s="9"/>
      <c r="CN395" s="9"/>
      <c r="CO395" s="9"/>
      <c r="CP395" s="9"/>
      <c r="CQ395" s="9"/>
      <c r="CR395" s="9"/>
      <c r="CS395" s="9"/>
      <c r="CT395" s="145"/>
      <c r="CU395" s="9"/>
      <c r="CV395" s="9"/>
      <c r="CW395" s="9"/>
      <c r="CX395" s="9"/>
      <c r="CY395" s="9"/>
      <c r="CZ395" s="9"/>
    </row>
    <row r="396" spans="2:104">
      <c r="B396" s="14"/>
      <c r="C396" s="1662"/>
      <c r="D396" s="1661"/>
      <c r="E396" s="1678"/>
      <c r="F396" s="1214" t="s">
        <v>214</v>
      </c>
      <c r="G396" s="1213">
        <v>0</v>
      </c>
      <c r="H396" s="1213">
        <v>0.75</v>
      </c>
      <c r="I396" s="1213">
        <v>0.75</v>
      </c>
      <c r="J396" s="1213">
        <v>1</v>
      </c>
      <c r="K396" s="1213">
        <v>0.15</v>
      </c>
      <c r="L396" s="1213">
        <f>'[2]3.Hd'!$E$403</f>
        <v>1.6960999999999999</v>
      </c>
      <c r="M396" s="1213">
        <f t="shared" si="57"/>
        <v>1.08126375</v>
      </c>
      <c r="N396" s="145"/>
      <c r="O396" s="145"/>
      <c r="P396" s="145"/>
      <c r="Q396" s="1681"/>
      <c r="R396" s="1683"/>
      <c r="S396" s="1657"/>
      <c r="T396" s="1199" t="s">
        <v>215</v>
      </c>
      <c r="U396" s="1198">
        <v>0.86</v>
      </c>
      <c r="V396" s="1198">
        <v>0.75</v>
      </c>
      <c r="W396" s="1198">
        <v>0.75</v>
      </c>
      <c r="X396" s="1198">
        <v>1</v>
      </c>
      <c r="Y396" s="1198">
        <v>0.1</v>
      </c>
      <c r="Z396" s="1198">
        <f>'[2]3.Hd'!$E$404</f>
        <v>2.2075</v>
      </c>
      <c r="AA396" s="512">
        <f t="shared" si="56"/>
        <v>1.4900625000000001</v>
      </c>
      <c r="AB396" s="145"/>
      <c r="AC396" s="145"/>
      <c r="AD396" s="34"/>
      <c r="AE396" s="34"/>
      <c r="AF396" s="41"/>
      <c r="AG396" s="41"/>
      <c r="BH396" s="1201"/>
      <c r="BI396" s="1205"/>
      <c r="BJ396" s="1206"/>
      <c r="BK396" s="145"/>
      <c r="BL396" s="145"/>
      <c r="BN396" s="1485"/>
      <c r="BO396" s="1482"/>
      <c r="BP396" s="1194"/>
      <c r="BQ396" s="849" t="s">
        <v>631</v>
      </c>
      <c r="BS396" s="14"/>
      <c r="BT396" s="1201"/>
      <c r="CD396" s="9"/>
      <c r="CE396" s="9"/>
      <c r="CF396" s="145"/>
      <c r="CG396" s="9"/>
      <c r="CH396" s="9"/>
      <c r="CI396" s="9"/>
      <c r="CJ396" s="9"/>
      <c r="CK396" s="9"/>
      <c r="CL396" s="9"/>
      <c r="CM396" s="9"/>
      <c r="CN396" s="9"/>
      <c r="CO396" s="9"/>
      <c r="CP396" s="9"/>
      <c r="CQ396" s="9"/>
      <c r="CR396" s="9"/>
      <c r="CS396" s="9"/>
      <c r="CT396" s="145"/>
      <c r="CU396" s="9"/>
      <c r="CV396" s="9"/>
      <c r="CW396" s="9"/>
      <c r="CX396" s="9"/>
      <c r="CY396" s="9"/>
      <c r="CZ396" s="9"/>
    </row>
    <row r="397" spans="2:104" ht="16">
      <c r="B397" s="14"/>
      <c r="C397" s="1662"/>
      <c r="D397" s="1661"/>
      <c r="E397" s="1678"/>
      <c r="F397" s="1214" t="s">
        <v>215</v>
      </c>
      <c r="G397" s="1213">
        <v>0</v>
      </c>
      <c r="H397" s="1213">
        <v>0.75</v>
      </c>
      <c r="I397" s="1213">
        <v>0.75</v>
      </c>
      <c r="J397" s="1213">
        <v>1</v>
      </c>
      <c r="K397" s="1213">
        <v>0.15</v>
      </c>
      <c r="L397" s="1213">
        <f>'[2]3.Hd'!$E$403</f>
        <v>1.6960999999999999</v>
      </c>
      <c r="M397" s="1213">
        <f t="shared" si="57"/>
        <v>1.08126375</v>
      </c>
      <c r="N397" s="145"/>
      <c r="O397" s="145"/>
      <c r="P397" s="145"/>
      <c r="Q397" s="1681"/>
      <c r="R397" s="1683"/>
      <c r="S397" s="1669" t="s">
        <v>917</v>
      </c>
      <c r="T397" s="1653" t="s">
        <v>24</v>
      </c>
      <c r="U397" s="89" t="s">
        <v>319</v>
      </c>
      <c r="V397" s="89" t="s">
        <v>320</v>
      </c>
      <c r="W397" s="89" t="s">
        <v>321</v>
      </c>
      <c r="X397" s="89" t="s">
        <v>322</v>
      </c>
      <c r="Y397" s="89" t="s">
        <v>323</v>
      </c>
      <c r="Z397" s="89" t="s">
        <v>324</v>
      </c>
      <c r="AA397" s="518" t="s">
        <v>311</v>
      </c>
      <c r="AB397" s="145"/>
      <c r="AC397" s="145"/>
      <c r="AD397" s="145"/>
      <c r="AE397" s="145"/>
      <c r="AF397" s="41"/>
      <c r="AG397" s="41"/>
      <c r="BH397" s="1201"/>
      <c r="BI397" s="1205"/>
      <c r="BJ397" s="1206"/>
      <c r="BK397" s="145"/>
      <c r="BL397" s="145"/>
      <c r="BN397" s="1485"/>
      <c r="BO397" s="1482"/>
      <c r="BP397" s="1194"/>
      <c r="BQ397" s="851" t="s">
        <v>859</v>
      </c>
      <c r="BT397" s="1201"/>
      <c r="CD397" s="9"/>
      <c r="CE397" s="9"/>
      <c r="CF397" s="145"/>
      <c r="CG397" s="9"/>
      <c r="CH397" s="9"/>
      <c r="CI397" s="9"/>
      <c r="CJ397" s="9"/>
      <c r="CK397" s="9"/>
      <c r="CL397" s="9"/>
      <c r="CM397" s="9"/>
      <c r="CN397" s="9"/>
      <c r="CO397" s="9"/>
      <c r="CP397" s="9"/>
      <c r="CQ397" s="9"/>
      <c r="CR397" s="9"/>
      <c r="CS397" s="9"/>
      <c r="CT397" s="145"/>
      <c r="CU397" s="9"/>
      <c r="CV397" s="9"/>
      <c r="CW397" s="9"/>
      <c r="CX397" s="9"/>
      <c r="CY397" s="9"/>
      <c r="CZ397" s="9"/>
    </row>
    <row r="398" spans="2:104" ht="16">
      <c r="B398" s="14"/>
      <c r="C398" s="1662"/>
      <c r="D398" s="1661"/>
      <c r="E398" s="1679" t="s">
        <v>907</v>
      </c>
      <c r="F398" s="1653" t="s">
        <v>24</v>
      </c>
      <c r="G398" s="89" t="s">
        <v>319</v>
      </c>
      <c r="H398" s="89" t="s">
        <v>320</v>
      </c>
      <c r="I398" s="89" t="s">
        <v>321</v>
      </c>
      <c r="J398" s="89" t="s">
        <v>322</v>
      </c>
      <c r="K398" s="89" t="s">
        <v>323</v>
      </c>
      <c r="L398" s="89" t="s">
        <v>324</v>
      </c>
      <c r="M398" s="89" t="s">
        <v>311</v>
      </c>
      <c r="N398" s="145"/>
      <c r="O398" s="145"/>
      <c r="P398" s="145"/>
      <c r="Q398" s="1681"/>
      <c r="R398" s="1683"/>
      <c r="S398" s="1670"/>
      <c r="T398" s="1654"/>
      <c r="U398" s="115" t="s">
        <v>24</v>
      </c>
      <c r="V398" s="115" t="s">
        <v>24</v>
      </c>
      <c r="W398" s="115" t="s">
        <v>24</v>
      </c>
      <c r="X398" s="115" t="s">
        <v>24</v>
      </c>
      <c r="Y398" s="115" t="s">
        <v>24</v>
      </c>
      <c r="Z398" s="92" t="s">
        <v>32</v>
      </c>
      <c r="AA398" s="519" t="s">
        <v>32</v>
      </c>
      <c r="AB398" s="145"/>
      <c r="AC398" s="145"/>
      <c r="AD398" s="145"/>
      <c r="AE398" s="145"/>
      <c r="AF398" s="41"/>
      <c r="AG398" s="41"/>
      <c r="BH398" s="1201"/>
      <c r="BI398" s="1205"/>
      <c r="BJ398" s="1206"/>
      <c r="BK398" s="145"/>
      <c r="BL398" s="145"/>
      <c r="BN398" s="1485"/>
      <c r="BO398" s="1482"/>
      <c r="BP398" s="865"/>
      <c r="BQ398" s="940" t="s">
        <v>858</v>
      </c>
      <c r="BS398" s="14"/>
      <c r="BT398" s="1201"/>
      <c r="CD398" s="9"/>
      <c r="CE398" s="9"/>
      <c r="CF398" s="145"/>
      <c r="CG398" s="9"/>
      <c r="CH398" s="9"/>
      <c r="CI398" s="9"/>
      <c r="CJ398" s="9"/>
      <c r="CK398" s="9"/>
      <c r="CL398" s="9"/>
      <c r="CM398" s="9"/>
      <c r="CN398" s="9"/>
      <c r="CO398" s="9"/>
      <c r="CP398" s="9"/>
      <c r="CQ398" s="9"/>
      <c r="CR398" s="9"/>
      <c r="CS398" s="9"/>
      <c r="CT398" s="145"/>
      <c r="CU398" s="9"/>
      <c r="CV398" s="9"/>
      <c r="CW398" s="9"/>
      <c r="CX398" s="9"/>
      <c r="CY398" s="9"/>
      <c r="CZ398" s="9"/>
    </row>
    <row r="399" spans="2:104">
      <c r="B399" s="14"/>
      <c r="C399" s="1662"/>
      <c r="D399" s="1661"/>
      <c r="E399" s="1679"/>
      <c r="F399" s="1654"/>
      <c r="G399" s="115" t="s">
        <v>24</v>
      </c>
      <c r="H399" s="115" t="s">
        <v>24</v>
      </c>
      <c r="I399" s="115" t="s">
        <v>24</v>
      </c>
      <c r="J399" s="115" t="s">
        <v>24</v>
      </c>
      <c r="K399" s="115" t="s">
        <v>24</v>
      </c>
      <c r="L399" s="92" t="s">
        <v>32</v>
      </c>
      <c r="M399" s="92" t="s">
        <v>32</v>
      </c>
      <c r="N399" s="145"/>
      <c r="O399" s="145"/>
      <c r="P399" s="145"/>
      <c r="Q399" s="1681"/>
      <c r="R399" s="1683"/>
      <c r="S399" s="1670"/>
      <c r="T399" s="1199" t="s">
        <v>204</v>
      </c>
      <c r="U399" s="1198">
        <v>0.81</v>
      </c>
      <c r="V399" s="1198">
        <v>0.75</v>
      </c>
      <c r="W399" s="1198">
        <v>0.75</v>
      </c>
      <c r="X399" s="1198">
        <v>1</v>
      </c>
      <c r="Y399" s="1198">
        <v>0.1</v>
      </c>
      <c r="Z399" s="1198">
        <f>'[2]3.Hd'!$E$404</f>
        <v>2.2075</v>
      </c>
      <c r="AA399" s="512">
        <f t="shared" ref="AA399:AA410" si="58">X399*V399*(1-Y399)*Z399</f>
        <v>1.4900625000000001</v>
      </c>
      <c r="AB399" s="145"/>
      <c r="AC399" s="145"/>
      <c r="AD399" s="145"/>
      <c r="AE399" s="145"/>
      <c r="AF399" s="41"/>
      <c r="AG399" s="41"/>
      <c r="BH399" s="1201"/>
      <c r="BI399" s="1205"/>
      <c r="BJ399" s="1206"/>
      <c r="BK399" s="145"/>
      <c r="BL399" s="145"/>
      <c r="BN399" s="1485"/>
      <c r="BO399" s="1482"/>
      <c r="BP399" s="1192" t="s">
        <v>586</v>
      </c>
      <c r="BQ399" s="1188"/>
      <c r="BS399" s="14"/>
      <c r="BT399" s="1201"/>
      <c r="CD399" s="9"/>
      <c r="CE399" s="9"/>
      <c r="CF399" s="145"/>
      <c r="CG399" s="9"/>
      <c r="CH399" s="9"/>
      <c r="CI399" s="9"/>
      <c r="CJ399" s="9"/>
      <c r="CK399" s="9"/>
      <c r="CL399" s="9"/>
      <c r="CM399" s="9"/>
      <c r="CN399" s="9"/>
      <c r="CO399" s="9"/>
      <c r="CP399" s="9"/>
      <c r="CQ399" s="9"/>
      <c r="CR399" s="9"/>
      <c r="CS399" s="9"/>
      <c r="CT399" s="145"/>
      <c r="CU399" s="9"/>
      <c r="CV399" s="9"/>
      <c r="CW399" s="9"/>
      <c r="CX399" s="9"/>
      <c r="CY399" s="9"/>
      <c r="CZ399" s="9"/>
    </row>
    <row r="400" spans="2:104" ht="15" customHeight="1">
      <c r="B400" s="14"/>
      <c r="C400" s="1662"/>
      <c r="D400" s="1661"/>
      <c r="E400" s="1679"/>
      <c r="F400" s="1214" t="s">
        <v>204</v>
      </c>
      <c r="G400" s="1213">
        <v>0</v>
      </c>
      <c r="H400" s="1213">
        <v>0.75</v>
      </c>
      <c r="I400" s="1213">
        <v>0.75</v>
      </c>
      <c r="J400" s="1213">
        <v>1</v>
      </c>
      <c r="K400" s="1213">
        <v>0.15</v>
      </c>
      <c r="L400" s="1213">
        <f>'[2]3.Hd'!$E$403</f>
        <v>1.6960999999999999</v>
      </c>
      <c r="M400" s="1213">
        <f t="shared" ref="M400:M411" si="59">J400*H400*(1-K400)*L400</f>
        <v>1.08126375</v>
      </c>
      <c r="N400" s="17"/>
      <c r="O400" s="380"/>
      <c r="P400" s="380"/>
      <c r="Q400" s="1681"/>
      <c r="R400" s="1683"/>
      <c r="S400" s="1670"/>
      <c r="T400" s="1199" t="s">
        <v>205</v>
      </c>
      <c r="U400" s="1198">
        <v>0.82</v>
      </c>
      <c r="V400" s="1198">
        <v>0.75</v>
      </c>
      <c r="W400" s="1198">
        <v>0.75</v>
      </c>
      <c r="X400" s="1198">
        <v>1</v>
      </c>
      <c r="Y400" s="1198">
        <v>0.1</v>
      </c>
      <c r="Z400" s="1198">
        <f>'[2]3.Hd'!$E$404</f>
        <v>2.2075</v>
      </c>
      <c r="AA400" s="512">
        <f t="shared" si="58"/>
        <v>1.4900625000000001</v>
      </c>
      <c r="AB400" s="145"/>
      <c r="AC400" s="145"/>
      <c r="AD400" s="145"/>
      <c r="AE400" s="145"/>
      <c r="AF400" s="41"/>
      <c r="AG400" s="41"/>
      <c r="BH400" s="1201"/>
      <c r="BI400" s="1205"/>
      <c r="BJ400" s="1206"/>
      <c r="BK400" s="145"/>
      <c r="BL400" s="145"/>
      <c r="BN400" s="1485"/>
      <c r="BO400" s="1482"/>
      <c r="BP400" s="1194"/>
      <c r="BQ400" s="1188"/>
      <c r="BS400" s="14"/>
      <c r="BT400" s="1201"/>
      <c r="CD400" s="9"/>
      <c r="CE400" s="9"/>
      <c r="CF400" s="145"/>
      <c r="CG400" s="9"/>
      <c r="CH400" s="9"/>
      <c r="CI400" s="9"/>
      <c r="CJ400" s="9"/>
      <c r="CK400" s="9"/>
      <c r="CL400" s="9"/>
      <c r="CM400" s="9"/>
      <c r="CN400" s="9"/>
      <c r="CO400" s="9"/>
      <c r="CP400" s="9"/>
      <c r="CQ400" s="9"/>
      <c r="CR400" s="9"/>
      <c r="CS400" s="9"/>
      <c r="CT400" s="145"/>
      <c r="CU400" s="9"/>
      <c r="CV400" s="9"/>
      <c r="CW400" s="9"/>
      <c r="CX400" s="9"/>
      <c r="CY400" s="9"/>
      <c r="CZ400" s="9"/>
    </row>
    <row r="401" spans="2:104">
      <c r="B401" s="14"/>
      <c r="C401" s="1662"/>
      <c r="D401" s="1661"/>
      <c r="E401" s="1679"/>
      <c r="F401" s="1214" t="s">
        <v>205</v>
      </c>
      <c r="G401" s="1213">
        <v>0</v>
      </c>
      <c r="H401" s="1213">
        <v>0.75</v>
      </c>
      <c r="I401" s="1213">
        <v>0.75</v>
      </c>
      <c r="J401" s="1213">
        <v>1</v>
      </c>
      <c r="K401" s="1213">
        <v>0.15</v>
      </c>
      <c r="L401" s="1213">
        <f>'[2]3.Hd'!$E$403</f>
        <v>1.6960999999999999</v>
      </c>
      <c r="M401" s="1213">
        <f t="shared" si="59"/>
        <v>1.08126375</v>
      </c>
      <c r="N401" s="17"/>
      <c r="O401" s="145"/>
      <c r="P401" s="145"/>
      <c r="Q401" s="1681"/>
      <c r="R401" s="1683"/>
      <c r="S401" s="1670"/>
      <c r="T401" s="1199" t="s">
        <v>206</v>
      </c>
      <c r="U401" s="1198">
        <v>0.81</v>
      </c>
      <c r="V401" s="1198">
        <v>0.75</v>
      </c>
      <c r="W401" s="1198">
        <v>0.75</v>
      </c>
      <c r="X401" s="1198">
        <v>1</v>
      </c>
      <c r="Y401" s="1198">
        <v>0.1</v>
      </c>
      <c r="Z401" s="1198">
        <f>'[2]3.Hd'!$E$404</f>
        <v>2.2075</v>
      </c>
      <c r="AA401" s="512">
        <f t="shared" si="58"/>
        <v>1.4900625000000001</v>
      </c>
      <c r="AB401" s="145"/>
      <c r="AC401" s="145"/>
      <c r="AD401" s="145"/>
      <c r="AE401" s="145"/>
      <c r="AF401" s="41"/>
      <c r="AG401" s="41"/>
      <c r="BH401" s="1201"/>
      <c r="BI401" s="1205"/>
      <c r="BJ401" s="1206"/>
      <c r="BK401" s="145"/>
      <c r="BL401" s="145"/>
      <c r="BN401" s="1485"/>
      <c r="BO401" s="1482"/>
      <c r="BP401" s="865"/>
      <c r="BQ401" s="854" t="s">
        <v>859</v>
      </c>
      <c r="BS401" s="14"/>
      <c r="BT401" s="1201"/>
      <c r="CD401" s="9"/>
      <c r="CE401" s="9"/>
      <c r="CF401" s="145"/>
      <c r="CG401" s="9"/>
      <c r="CH401" s="9"/>
      <c r="CI401" s="9"/>
      <c r="CJ401" s="9"/>
      <c r="CK401" s="9"/>
      <c r="CL401" s="9"/>
      <c r="CM401" s="9"/>
      <c r="CN401" s="9"/>
      <c r="CO401" s="9"/>
      <c r="CP401" s="9"/>
      <c r="CQ401" s="9"/>
      <c r="CR401" s="9"/>
      <c r="CS401" s="9"/>
      <c r="CT401" s="145"/>
      <c r="CU401" s="9"/>
      <c r="CV401" s="9"/>
      <c r="CW401" s="9"/>
      <c r="CX401" s="9"/>
      <c r="CY401" s="9"/>
      <c r="CZ401" s="9"/>
    </row>
    <row r="402" spans="2:104">
      <c r="B402" s="14"/>
      <c r="C402" s="1662"/>
      <c r="D402" s="1661"/>
      <c r="E402" s="1679"/>
      <c r="F402" s="1214" t="s">
        <v>206</v>
      </c>
      <c r="G402" s="1213">
        <v>0</v>
      </c>
      <c r="H402" s="1213">
        <v>0.75</v>
      </c>
      <c r="I402" s="1213">
        <v>0.75</v>
      </c>
      <c r="J402" s="1213">
        <v>1</v>
      </c>
      <c r="K402" s="1213">
        <v>0.15</v>
      </c>
      <c r="L402" s="1213">
        <f>'[2]3.Hd'!$E$403</f>
        <v>1.6960999999999999</v>
      </c>
      <c r="M402" s="1213">
        <f t="shared" si="59"/>
        <v>1.08126375</v>
      </c>
      <c r="N402" s="145"/>
      <c r="O402" s="145"/>
      <c r="P402" s="145"/>
      <c r="Q402" s="1681"/>
      <c r="R402" s="1683"/>
      <c r="S402" s="1670"/>
      <c r="T402" s="1199" t="s">
        <v>207</v>
      </c>
      <c r="U402" s="1198">
        <v>0.74</v>
      </c>
      <c r="V402" s="1198">
        <v>0.75</v>
      </c>
      <c r="W402" s="1198">
        <v>0.75</v>
      </c>
      <c r="X402" s="1198">
        <v>1</v>
      </c>
      <c r="Y402" s="1198">
        <v>0.1</v>
      </c>
      <c r="Z402" s="1198">
        <f>'[2]3.Hd'!$E$404</f>
        <v>2.2075</v>
      </c>
      <c r="AA402" s="512">
        <f t="shared" si="58"/>
        <v>1.4900625000000001</v>
      </c>
      <c r="AB402" s="145"/>
      <c r="AC402" s="145"/>
      <c r="AD402" s="145"/>
      <c r="AE402" s="145"/>
      <c r="AF402" s="41"/>
      <c r="AG402" s="41"/>
      <c r="BH402" s="1201"/>
      <c r="BI402" s="1205"/>
      <c r="BJ402" s="1206"/>
      <c r="BK402" s="145"/>
      <c r="BL402" s="145"/>
      <c r="BN402" s="1485"/>
      <c r="BO402" s="1482"/>
      <c r="BP402" s="1191" t="s">
        <v>19</v>
      </c>
      <c r="BQ402" s="1186"/>
      <c r="BS402" s="14"/>
      <c r="BT402" s="1201"/>
      <c r="CD402" s="9"/>
      <c r="CE402" s="9"/>
      <c r="CF402" s="145"/>
      <c r="CG402" s="9"/>
      <c r="CH402" s="9"/>
      <c r="CI402" s="9"/>
      <c r="CJ402" s="9"/>
      <c r="CK402" s="9"/>
      <c r="CL402" s="9"/>
      <c r="CM402" s="9"/>
      <c r="CN402" s="9"/>
      <c r="CO402" s="9"/>
      <c r="CP402" s="9"/>
      <c r="CQ402" s="9"/>
      <c r="CR402" s="9"/>
      <c r="CS402" s="9"/>
      <c r="CT402" s="145"/>
      <c r="CU402" s="9"/>
      <c r="CV402" s="9"/>
      <c r="CW402" s="9"/>
      <c r="CX402" s="9"/>
      <c r="CY402" s="9"/>
      <c r="CZ402" s="9"/>
    </row>
    <row r="403" spans="2:104">
      <c r="B403" s="14"/>
      <c r="C403" s="1662"/>
      <c r="D403" s="1661"/>
      <c r="E403" s="1679"/>
      <c r="F403" s="1214" t="s">
        <v>207</v>
      </c>
      <c r="G403" s="1213">
        <v>0</v>
      </c>
      <c r="H403" s="1213">
        <v>0.75</v>
      </c>
      <c r="I403" s="1213">
        <v>0.75</v>
      </c>
      <c r="J403" s="1213">
        <v>1</v>
      </c>
      <c r="K403" s="1213">
        <v>0.15</v>
      </c>
      <c r="L403" s="1213">
        <f>'[2]3.Hd'!$E$403</f>
        <v>1.6960999999999999</v>
      </c>
      <c r="M403" s="1213">
        <f t="shared" si="59"/>
        <v>1.08126375</v>
      </c>
      <c r="N403" s="145"/>
      <c r="O403" s="145"/>
      <c r="P403" s="145"/>
      <c r="Q403" s="1681"/>
      <c r="R403" s="1683"/>
      <c r="S403" s="1670"/>
      <c r="T403" s="1199" t="s">
        <v>208</v>
      </c>
      <c r="U403" s="1198">
        <v>0.62</v>
      </c>
      <c r="V403" s="1198">
        <v>0.75</v>
      </c>
      <c r="W403" s="1198">
        <v>0.75</v>
      </c>
      <c r="X403" s="1198">
        <v>1</v>
      </c>
      <c r="Y403" s="1198">
        <v>0.1</v>
      </c>
      <c r="Z403" s="1198">
        <f>'[2]3.Hd'!$E$404</f>
        <v>2.2075</v>
      </c>
      <c r="AA403" s="512">
        <f t="shared" si="58"/>
        <v>1.4900625000000001</v>
      </c>
      <c r="AB403" s="145"/>
      <c r="AC403" s="145"/>
      <c r="AD403" s="145"/>
      <c r="AE403" s="145"/>
      <c r="AF403" s="41"/>
      <c r="AG403" s="41"/>
      <c r="BH403" s="1201"/>
      <c r="BI403" s="1205"/>
      <c r="BJ403" s="1206"/>
      <c r="BK403" s="145"/>
      <c r="BL403" s="145"/>
      <c r="BN403" s="1485"/>
      <c r="BO403" s="1482"/>
      <c r="BP403" s="1194"/>
      <c r="BQ403" s="1188"/>
      <c r="BS403" s="14"/>
      <c r="BT403" s="1201"/>
      <c r="CD403" s="9"/>
      <c r="CE403" s="9"/>
      <c r="CF403" s="145"/>
      <c r="CG403" s="9"/>
      <c r="CH403" s="9"/>
      <c r="CI403" s="9"/>
      <c r="CJ403" s="9"/>
      <c r="CK403" s="9"/>
      <c r="CL403" s="9"/>
      <c r="CM403" s="9"/>
      <c r="CN403" s="9"/>
      <c r="CO403" s="9"/>
      <c r="CP403" s="9"/>
      <c r="CQ403" s="9"/>
      <c r="CR403" s="9"/>
      <c r="CS403" s="9"/>
      <c r="CT403" s="145"/>
      <c r="CU403" s="9"/>
      <c r="CV403" s="9"/>
      <c r="CW403" s="9"/>
      <c r="CX403" s="9"/>
      <c r="CY403" s="9"/>
      <c r="CZ403" s="9"/>
    </row>
    <row r="404" spans="2:104">
      <c r="B404" s="14"/>
      <c r="C404" s="1662"/>
      <c r="D404" s="1661"/>
      <c r="E404" s="1679"/>
      <c r="F404" s="1214" t="s">
        <v>208</v>
      </c>
      <c r="G404" s="1213">
        <v>0</v>
      </c>
      <c r="H404" s="1213">
        <v>0.75</v>
      </c>
      <c r="I404" s="1213">
        <v>0.75</v>
      </c>
      <c r="J404" s="1213">
        <v>1</v>
      </c>
      <c r="K404" s="1213">
        <v>0.15</v>
      </c>
      <c r="L404" s="1213">
        <f>'[2]3.Hd'!$E$403</f>
        <v>1.6960999999999999</v>
      </c>
      <c r="M404" s="1213">
        <f t="shared" si="59"/>
        <v>1.08126375</v>
      </c>
      <c r="N404" s="145"/>
      <c r="O404" s="145"/>
      <c r="P404" s="145"/>
      <c r="Q404" s="1681"/>
      <c r="R404" s="1683"/>
      <c r="S404" s="1670"/>
      <c r="T404" s="1199" t="s">
        <v>209</v>
      </c>
      <c r="U404" s="1198">
        <v>0.56000000000000005</v>
      </c>
      <c r="V404" s="1198">
        <v>0.75</v>
      </c>
      <c r="W404" s="1198">
        <v>0.75</v>
      </c>
      <c r="X404" s="1198">
        <v>1</v>
      </c>
      <c r="Y404" s="1198">
        <v>0.1</v>
      </c>
      <c r="Z404" s="1198">
        <f>'[2]3.Hd'!$E$404</f>
        <v>2.2075</v>
      </c>
      <c r="AA404" s="512">
        <f t="shared" si="58"/>
        <v>1.4900625000000001</v>
      </c>
      <c r="AB404" s="145"/>
      <c r="AC404" s="145"/>
      <c r="AD404" s="145"/>
      <c r="AE404" s="145"/>
      <c r="AF404" s="41"/>
      <c r="AG404" s="41"/>
      <c r="BH404" s="1201"/>
      <c r="BI404" s="1205"/>
      <c r="BJ404" s="1206"/>
      <c r="BK404" s="145"/>
      <c r="BL404" s="145"/>
      <c r="BN404" s="1485"/>
      <c r="BO404" s="1482"/>
      <c r="BP404" s="1194"/>
      <c r="BQ404" s="1188"/>
      <c r="BS404" s="14"/>
      <c r="BT404" s="1201"/>
      <c r="CD404" s="9"/>
      <c r="CE404" s="9"/>
      <c r="CF404" s="145"/>
      <c r="CG404" s="9"/>
      <c r="CH404" s="9"/>
      <c r="CI404" s="9"/>
      <c r="CJ404" s="9"/>
      <c r="CK404" s="9"/>
      <c r="CL404" s="9"/>
      <c r="CM404" s="9"/>
      <c r="CN404" s="9"/>
      <c r="CO404" s="9"/>
      <c r="CP404" s="9"/>
      <c r="CQ404" s="9"/>
      <c r="CR404" s="9"/>
      <c r="CS404" s="9"/>
      <c r="CT404" s="145"/>
      <c r="CU404" s="9"/>
      <c r="CV404" s="9"/>
      <c r="CW404" s="9"/>
      <c r="CX404" s="9"/>
      <c r="CY404" s="9"/>
      <c r="CZ404" s="9"/>
    </row>
    <row r="405" spans="2:104">
      <c r="B405" s="14"/>
      <c r="C405" s="1662"/>
      <c r="D405" s="1661"/>
      <c r="E405" s="1679"/>
      <c r="F405" s="1214" t="s">
        <v>209</v>
      </c>
      <c r="G405" s="1213">
        <v>0</v>
      </c>
      <c r="H405" s="1213">
        <v>0.75</v>
      </c>
      <c r="I405" s="1213">
        <v>0.75</v>
      </c>
      <c r="J405" s="1213">
        <v>1</v>
      </c>
      <c r="K405" s="1213">
        <v>0.15</v>
      </c>
      <c r="L405" s="1213">
        <f>'[2]3.Hd'!$E$403</f>
        <v>1.6960999999999999</v>
      </c>
      <c r="M405" s="1213">
        <f t="shared" si="59"/>
        <v>1.08126375</v>
      </c>
      <c r="N405" s="145"/>
      <c r="O405" s="145"/>
      <c r="P405" s="145"/>
      <c r="Q405" s="1681"/>
      <c r="R405" s="1683"/>
      <c r="S405" s="1670"/>
      <c r="T405" s="1199" t="s">
        <v>210</v>
      </c>
      <c r="U405" s="1198">
        <v>0.62</v>
      </c>
      <c r="V405" s="1198">
        <v>0.75</v>
      </c>
      <c r="W405" s="1198">
        <v>0.75</v>
      </c>
      <c r="X405" s="1198">
        <v>1</v>
      </c>
      <c r="Y405" s="1198">
        <v>0.1</v>
      </c>
      <c r="Z405" s="1198">
        <f>'[2]3.Hd'!$E$404</f>
        <v>2.2075</v>
      </c>
      <c r="AA405" s="512">
        <f t="shared" si="58"/>
        <v>1.4900625000000001</v>
      </c>
      <c r="AB405" s="145"/>
      <c r="AC405" s="145"/>
      <c r="AD405" s="145"/>
      <c r="AE405" s="145"/>
      <c r="AF405" s="41"/>
      <c r="AG405" s="41"/>
      <c r="BH405" s="1201"/>
      <c r="BI405" s="1205"/>
      <c r="BJ405" s="1206"/>
      <c r="BK405" s="145"/>
      <c r="BL405" s="145"/>
      <c r="BN405" s="1485"/>
      <c r="BO405" s="1483"/>
      <c r="BP405" s="871"/>
      <c r="BQ405" s="852" t="s">
        <v>631</v>
      </c>
      <c r="BS405" s="14"/>
      <c r="BT405" s="1201"/>
      <c r="CD405" s="9"/>
      <c r="CE405" s="9"/>
      <c r="CF405" s="145"/>
      <c r="CG405" s="9"/>
      <c r="CH405" s="9"/>
      <c r="CI405" s="9"/>
      <c r="CJ405" s="9"/>
      <c r="CK405" s="9"/>
      <c r="CL405" s="9"/>
      <c r="CM405" s="9"/>
      <c r="CN405" s="9"/>
      <c r="CO405" s="9"/>
      <c r="CP405" s="9"/>
      <c r="CQ405" s="9"/>
      <c r="CR405" s="9"/>
      <c r="CS405" s="9"/>
      <c r="CT405" s="145"/>
      <c r="CU405" s="9"/>
      <c r="CV405" s="9"/>
      <c r="CW405" s="9"/>
      <c r="CX405" s="9"/>
      <c r="CY405" s="9"/>
      <c r="CZ405" s="9"/>
    </row>
    <row r="406" spans="2:104">
      <c r="B406" s="14"/>
      <c r="C406" s="1662"/>
      <c r="D406" s="1661"/>
      <c r="E406" s="1679"/>
      <c r="F406" s="1214" t="s">
        <v>210</v>
      </c>
      <c r="G406" s="1213">
        <v>0</v>
      </c>
      <c r="H406" s="1213">
        <v>0.75</v>
      </c>
      <c r="I406" s="1213">
        <v>0.75</v>
      </c>
      <c r="J406" s="1213">
        <v>1</v>
      </c>
      <c r="K406" s="1213">
        <v>0.15</v>
      </c>
      <c r="L406" s="1213">
        <f>'[2]3.Hd'!$E$403</f>
        <v>1.6960999999999999</v>
      </c>
      <c r="M406" s="1213">
        <f t="shared" si="59"/>
        <v>1.08126375</v>
      </c>
      <c r="N406" s="145"/>
      <c r="O406" s="145"/>
      <c r="P406" s="145"/>
      <c r="Q406" s="1681"/>
      <c r="R406" s="1683"/>
      <c r="S406" s="1670"/>
      <c r="T406" s="1199" t="s">
        <v>211</v>
      </c>
      <c r="U406" s="1198">
        <v>0.76</v>
      </c>
      <c r="V406" s="1198">
        <v>0.75</v>
      </c>
      <c r="W406" s="1198">
        <v>0.75</v>
      </c>
      <c r="X406" s="1198">
        <v>1</v>
      </c>
      <c r="Y406" s="1198">
        <v>0.1</v>
      </c>
      <c r="Z406" s="1198">
        <f>'[2]3.Hd'!$E$404</f>
        <v>2.2075</v>
      </c>
      <c r="AA406" s="512">
        <f t="shared" si="58"/>
        <v>1.4900625000000001</v>
      </c>
      <c r="AB406" s="145"/>
      <c r="AC406" s="145"/>
      <c r="AD406" s="145"/>
      <c r="AE406" s="145"/>
      <c r="AF406" s="41"/>
      <c r="AG406" s="41"/>
      <c r="BH406" s="1201"/>
      <c r="BI406" s="1205"/>
      <c r="BJ406" s="1206"/>
      <c r="BK406" s="145"/>
      <c r="BL406" s="145"/>
      <c r="BN406" s="1485"/>
      <c r="BO406" s="1372" t="s">
        <v>810</v>
      </c>
      <c r="BP406" s="1191" t="s">
        <v>9</v>
      </c>
      <c r="BQ406" s="1187"/>
      <c r="BS406" s="14"/>
      <c r="BT406" s="1201"/>
      <c r="CD406" s="9"/>
      <c r="CE406" s="9"/>
      <c r="CF406" s="145"/>
      <c r="CG406" s="9"/>
      <c r="CH406" s="9"/>
      <c r="CI406" s="9"/>
      <c r="CJ406" s="9"/>
      <c r="CK406" s="9"/>
      <c r="CL406" s="9"/>
      <c r="CM406" s="9"/>
      <c r="CN406" s="9"/>
      <c r="CO406" s="9"/>
      <c r="CP406" s="9"/>
      <c r="CQ406" s="9"/>
      <c r="CR406" s="9"/>
      <c r="CS406" s="9"/>
      <c r="CT406" s="145"/>
      <c r="CU406" s="9"/>
      <c r="CV406" s="9"/>
      <c r="CW406" s="9"/>
      <c r="CX406" s="9"/>
      <c r="CY406" s="9"/>
      <c r="CZ406" s="9"/>
    </row>
    <row r="407" spans="2:104">
      <c r="B407" s="14"/>
      <c r="C407" s="1662"/>
      <c r="D407" s="1661"/>
      <c r="E407" s="1679"/>
      <c r="F407" s="1214" t="s">
        <v>211</v>
      </c>
      <c r="G407" s="1213">
        <v>0</v>
      </c>
      <c r="H407" s="1213">
        <v>0.75</v>
      </c>
      <c r="I407" s="1213">
        <v>0.75</v>
      </c>
      <c r="J407" s="1213">
        <v>1</v>
      </c>
      <c r="K407" s="1213">
        <v>0.15</v>
      </c>
      <c r="L407" s="1213">
        <f>'[2]3.Hd'!$E$403</f>
        <v>1.6960999999999999</v>
      </c>
      <c r="M407" s="1213">
        <f t="shared" si="59"/>
        <v>1.08126375</v>
      </c>
      <c r="N407" s="145"/>
      <c r="O407" s="145"/>
      <c r="P407" s="145"/>
      <c r="Q407" s="1681"/>
      <c r="R407" s="1683"/>
      <c r="S407" s="1670"/>
      <c r="T407" s="1199" t="s">
        <v>212</v>
      </c>
      <c r="U407" s="1198">
        <v>0.82</v>
      </c>
      <c r="V407" s="1198">
        <v>0.75</v>
      </c>
      <c r="W407" s="1198">
        <v>0.75</v>
      </c>
      <c r="X407" s="1198">
        <v>1</v>
      </c>
      <c r="Y407" s="1198">
        <v>0.1</v>
      </c>
      <c r="Z407" s="1198">
        <f>'[2]3.Hd'!$E$404</f>
        <v>2.2075</v>
      </c>
      <c r="AA407" s="512">
        <f t="shared" si="58"/>
        <v>1.4900625000000001</v>
      </c>
      <c r="AB407" s="145"/>
      <c r="AC407" s="145"/>
      <c r="AD407" s="145"/>
      <c r="AE407" s="145"/>
      <c r="AF407" s="41"/>
      <c r="AG407" s="41"/>
      <c r="BH407" s="1201"/>
      <c r="BI407" s="1205"/>
      <c r="BJ407" s="1206"/>
      <c r="BK407" s="145"/>
      <c r="BL407" s="145"/>
      <c r="BN407" s="1485"/>
      <c r="BO407" s="1373"/>
      <c r="BP407" s="1192"/>
      <c r="BQ407" s="1189"/>
      <c r="BS407" s="14"/>
      <c r="BT407" s="1201"/>
      <c r="CD407" s="9"/>
      <c r="CE407" s="9"/>
      <c r="CF407" s="145"/>
      <c r="CG407" s="9"/>
      <c r="CH407" s="9"/>
      <c r="CI407" s="9"/>
      <c r="CJ407" s="9"/>
      <c r="CK407" s="9"/>
      <c r="CL407" s="9"/>
      <c r="CM407" s="9"/>
      <c r="CN407" s="9"/>
      <c r="CO407" s="9"/>
      <c r="CP407" s="9"/>
      <c r="CQ407" s="9"/>
      <c r="CR407" s="9"/>
      <c r="CS407" s="9"/>
      <c r="CT407" s="145"/>
      <c r="CU407" s="9"/>
      <c r="CV407" s="9"/>
      <c r="CW407" s="9"/>
      <c r="CX407" s="9"/>
      <c r="CY407" s="9"/>
      <c r="CZ407" s="9"/>
    </row>
    <row r="408" spans="2:104" ht="15" customHeight="1">
      <c r="B408" s="14"/>
      <c r="C408" s="1662"/>
      <c r="D408" s="1661"/>
      <c r="E408" s="1679"/>
      <c r="F408" s="1214" t="s">
        <v>212</v>
      </c>
      <c r="G408" s="1213">
        <v>0</v>
      </c>
      <c r="H408" s="1213">
        <v>0.75</v>
      </c>
      <c r="I408" s="1213">
        <v>0.75</v>
      </c>
      <c r="J408" s="1213">
        <v>1</v>
      </c>
      <c r="K408" s="1213">
        <v>0.15</v>
      </c>
      <c r="L408" s="1213">
        <f>'[2]3.Hd'!$E$403</f>
        <v>1.6960999999999999</v>
      </c>
      <c r="M408" s="1213">
        <f t="shared" si="59"/>
        <v>1.08126375</v>
      </c>
      <c r="N408" s="145"/>
      <c r="O408" s="145"/>
      <c r="P408" s="145"/>
      <c r="Q408" s="1681"/>
      <c r="R408" s="1683"/>
      <c r="S408" s="1670"/>
      <c r="T408" s="1199" t="s">
        <v>213</v>
      </c>
      <c r="U408" s="1198">
        <v>0.86</v>
      </c>
      <c r="V408" s="1198">
        <v>0.75</v>
      </c>
      <c r="W408" s="1198">
        <v>0.75</v>
      </c>
      <c r="X408" s="1198">
        <v>1</v>
      </c>
      <c r="Y408" s="1198">
        <v>0.1</v>
      </c>
      <c r="Z408" s="1198">
        <f>'[2]3.Hd'!$E$404</f>
        <v>2.2075</v>
      </c>
      <c r="AA408" s="512">
        <f t="shared" si="58"/>
        <v>1.4900625000000001</v>
      </c>
      <c r="AB408" s="145"/>
      <c r="AC408" s="145"/>
      <c r="AD408" s="145"/>
      <c r="AE408" s="145"/>
      <c r="AF408" s="41"/>
      <c r="AG408" s="41"/>
      <c r="BH408" s="1201"/>
      <c r="BI408" s="1205"/>
      <c r="BJ408" s="1206"/>
      <c r="BK408" s="18"/>
      <c r="BL408" s="380"/>
      <c r="BN408" s="1485"/>
      <c r="BO408" s="1373"/>
      <c r="BP408" s="1192"/>
      <c r="BQ408" s="1189"/>
      <c r="BS408" s="380"/>
      <c r="BT408" s="1201"/>
      <c r="CD408" s="9"/>
      <c r="CE408" s="9"/>
      <c r="CF408" s="380"/>
      <c r="CG408" s="9"/>
      <c r="CH408" s="9"/>
      <c r="CI408" s="9"/>
      <c r="CJ408" s="9"/>
      <c r="CK408" s="9"/>
      <c r="CL408" s="9"/>
      <c r="CM408" s="9"/>
      <c r="CN408" s="9"/>
      <c r="CO408" s="9"/>
      <c r="CP408" s="9"/>
      <c r="CQ408" s="9"/>
      <c r="CR408" s="9"/>
      <c r="CS408" s="9"/>
      <c r="CT408" s="380"/>
      <c r="CU408" s="9"/>
      <c r="CV408" s="9"/>
      <c r="CW408" s="9"/>
      <c r="CX408" s="9"/>
      <c r="CY408" s="9"/>
      <c r="CZ408" s="9"/>
    </row>
    <row r="409" spans="2:104" ht="15" customHeight="1">
      <c r="B409" s="14"/>
      <c r="C409" s="1662"/>
      <c r="D409" s="1661"/>
      <c r="E409" s="1679"/>
      <c r="F409" s="1214" t="s">
        <v>213</v>
      </c>
      <c r="G409" s="1213">
        <v>0</v>
      </c>
      <c r="H409" s="1213">
        <v>0.75</v>
      </c>
      <c r="I409" s="1213">
        <v>0.75</v>
      </c>
      <c r="J409" s="1213">
        <v>1</v>
      </c>
      <c r="K409" s="1213">
        <v>0.15</v>
      </c>
      <c r="L409" s="1213">
        <f>'[2]3.Hd'!$E$403</f>
        <v>1.6960999999999999</v>
      </c>
      <c r="M409" s="1213">
        <f t="shared" si="59"/>
        <v>1.08126375</v>
      </c>
      <c r="N409" s="145"/>
      <c r="O409" s="145"/>
      <c r="P409" s="145"/>
      <c r="Q409" s="1681"/>
      <c r="R409" s="1683"/>
      <c r="S409" s="1670"/>
      <c r="T409" s="1199" t="s">
        <v>214</v>
      </c>
      <c r="U409" s="1198">
        <v>0.84</v>
      </c>
      <c r="V409" s="1198">
        <v>0.75</v>
      </c>
      <c r="W409" s="1198">
        <v>0.75</v>
      </c>
      <c r="X409" s="1198">
        <v>1</v>
      </c>
      <c r="Y409" s="1198">
        <v>0.1</v>
      </c>
      <c r="Z409" s="1198">
        <f>'[2]3.Hd'!$E$404</f>
        <v>2.2075</v>
      </c>
      <c r="AA409" s="512">
        <f t="shared" si="58"/>
        <v>1.4900625000000001</v>
      </c>
      <c r="AB409" s="380"/>
      <c r="AC409" s="380"/>
      <c r="AD409" s="380"/>
      <c r="AE409" s="380"/>
      <c r="AF409" s="41"/>
      <c r="AG409" s="41"/>
      <c r="BH409" s="1201"/>
      <c r="BI409" s="1205"/>
      <c r="BJ409" s="1206"/>
      <c r="BK409" s="18"/>
      <c r="BL409" s="145"/>
      <c r="BN409" s="1485"/>
      <c r="BO409" s="1373"/>
      <c r="BP409" s="1193"/>
      <c r="BQ409" s="939" t="s">
        <v>618</v>
      </c>
      <c r="BS409" s="34"/>
      <c r="BT409" s="1201"/>
      <c r="CD409" s="9"/>
      <c r="CE409" s="9"/>
      <c r="CF409" s="145"/>
      <c r="CG409" s="9"/>
      <c r="CH409" s="9"/>
      <c r="CI409" s="9"/>
      <c r="CJ409" s="9"/>
      <c r="CK409" s="9"/>
      <c r="CL409" s="9"/>
      <c r="CM409" s="9"/>
      <c r="CN409" s="9"/>
      <c r="CO409" s="9"/>
      <c r="CP409" s="9"/>
      <c r="CQ409" s="9"/>
      <c r="CR409" s="9"/>
      <c r="CS409" s="9"/>
      <c r="CT409" s="145"/>
      <c r="CU409" s="9"/>
      <c r="CV409" s="9"/>
      <c r="CW409" s="9"/>
      <c r="CX409" s="9"/>
      <c r="CY409" s="9"/>
      <c r="CZ409" s="9"/>
    </row>
    <row r="410" spans="2:104">
      <c r="B410" s="14"/>
      <c r="C410" s="1662"/>
      <c r="D410" s="1661"/>
      <c r="E410" s="1679"/>
      <c r="F410" s="1214" t="s">
        <v>214</v>
      </c>
      <c r="G410" s="1213">
        <v>0</v>
      </c>
      <c r="H410" s="1213">
        <v>0.75</v>
      </c>
      <c r="I410" s="1213">
        <v>0.75</v>
      </c>
      <c r="J410" s="1213">
        <v>1</v>
      </c>
      <c r="K410" s="1213">
        <v>0.15</v>
      </c>
      <c r="L410" s="1213">
        <f>'[2]3.Hd'!$E$403</f>
        <v>1.6960999999999999</v>
      </c>
      <c r="M410" s="1213">
        <f t="shared" si="59"/>
        <v>1.08126375</v>
      </c>
      <c r="N410" s="145"/>
      <c r="O410" s="145"/>
      <c r="P410" s="145"/>
      <c r="Q410" s="1681"/>
      <c r="R410" s="1683"/>
      <c r="S410" s="1671"/>
      <c r="T410" s="1199" t="s">
        <v>215</v>
      </c>
      <c r="U410" s="1198">
        <v>0.86</v>
      </c>
      <c r="V410" s="1198">
        <v>0.75</v>
      </c>
      <c r="W410" s="1198">
        <v>0.75</v>
      </c>
      <c r="X410" s="1198">
        <v>1</v>
      </c>
      <c r="Y410" s="1198">
        <v>0.1</v>
      </c>
      <c r="Z410" s="1198">
        <f>'[2]3.Hd'!$E$404</f>
        <v>2.2075</v>
      </c>
      <c r="AA410" s="512">
        <f t="shared" si="58"/>
        <v>1.4900625000000001</v>
      </c>
      <c r="AB410" s="145"/>
      <c r="AC410" s="145"/>
      <c r="AD410" s="34"/>
      <c r="AE410" s="34"/>
      <c r="AF410" s="41"/>
      <c r="AG410" s="41"/>
      <c r="BH410" s="1201"/>
      <c r="BI410" s="1205"/>
      <c r="BJ410" s="1206"/>
      <c r="BK410" s="145"/>
      <c r="BL410" s="145"/>
      <c r="BN410" s="1485"/>
      <c r="BO410" s="1373"/>
      <c r="BP410" s="1197" t="s">
        <v>804</v>
      </c>
      <c r="BQ410" s="1188"/>
      <c r="BT410" s="1201"/>
      <c r="CD410" s="9"/>
      <c r="CE410" s="9"/>
      <c r="CF410" s="145"/>
      <c r="CG410" s="9"/>
      <c r="CH410" s="9"/>
      <c r="CI410" s="9"/>
      <c r="CJ410" s="9"/>
      <c r="CK410" s="9"/>
      <c r="CL410" s="9"/>
      <c r="CM410" s="9"/>
      <c r="CN410" s="9"/>
      <c r="CO410" s="9"/>
      <c r="CP410" s="9"/>
      <c r="CQ410" s="9"/>
      <c r="CR410" s="9"/>
      <c r="CS410" s="9"/>
      <c r="CT410" s="145"/>
      <c r="CU410" s="9"/>
      <c r="CV410" s="9"/>
      <c r="CW410" s="9"/>
      <c r="CX410" s="9"/>
      <c r="CY410" s="9"/>
      <c r="CZ410" s="9"/>
    </row>
    <row r="411" spans="2:104" ht="16">
      <c r="B411" s="14"/>
      <c r="C411" s="1662"/>
      <c r="D411" s="1661"/>
      <c r="E411" s="1679"/>
      <c r="F411" s="1214" t="s">
        <v>215</v>
      </c>
      <c r="G411" s="1213">
        <v>0</v>
      </c>
      <c r="H411" s="1213">
        <v>0.75</v>
      </c>
      <c r="I411" s="1213">
        <v>0.75</v>
      </c>
      <c r="J411" s="1213">
        <v>1</v>
      </c>
      <c r="K411" s="1213">
        <v>0.15</v>
      </c>
      <c r="L411" s="1213">
        <f>'[2]3.Hd'!$E$403</f>
        <v>1.6960999999999999</v>
      </c>
      <c r="M411" s="1213">
        <f t="shared" si="59"/>
        <v>1.08126375</v>
      </c>
      <c r="N411" s="145"/>
      <c r="O411" s="145"/>
      <c r="P411" s="145"/>
      <c r="Q411" s="1681"/>
      <c r="R411" s="1683"/>
      <c r="S411" s="1655" t="s">
        <v>918</v>
      </c>
      <c r="T411" s="1653" t="s">
        <v>24</v>
      </c>
      <c r="U411" s="89" t="s">
        <v>319</v>
      </c>
      <c r="V411" s="89" t="s">
        <v>320</v>
      </c>
      <c r="W411" s="89" t="s">
        <v>321</v>
      </c>
      <c r="X411" s="89" t="s">
        <v>322</v>
      </c>
      <c r="Y411" s="89" t="s">
        <v>323</v>
      </c>
      <c r="Z411" s="89" t="s">
        <v>324</v>
      </c>
      <c r="AA411" s="518" t="s">
        <v>311</v>
      </c>
      <c r="AB411" s="145"/>
      <c r="AC411" s="145"/>
      <c r="AD411" s="145"/>
      <c r="AE411" s="145"/>
      <c r="AF411" s="41"/>
      <c r="AG411" s="41"/>
      <c r="BH411" s="1201"/>
      <c r="BI411" s="1205"/>
      <c r="BJ411" s="1206"/>
      <c r="BK411" s="145"/>
      <c r="BL411" s="145"/>
      <c r="BN411" s="1485"/>
      <c r="BO411" s="1373"/>
      <c r="BP411" s="1197"/>
      <c r="BQ411" s="1188"/>
      <c r="BS411" s="17"/>
      <c r="BT411" s="1201"/>
      <c r="CD411" s="9"/>
      <c r="CE411" s="9"/>
      <c r="CF411" s="145"/>
      <c r="CG411" s="9"/>
      <c r="CH411" s="9"/>
      <c r="CI411" s="9"/>
      <c r="CJ411" s="9"/>
      <c r="CK411" s="9"/>
      <c r="CL411" s="9"/>
      <c r="CM411" s="9"/>
      <c r="CN411" s="9"/>
      <c r="CO411" s="9"/>
      <c r="CP411" s="9"/>
      <c r="CQ411" s="9"/>
      <c r="CR411" s="9"/>
      <c r="CS411" s="9"/>
      <c r="CT411" s="145"/>
      <c r="CU411" s="9"/>
      <c r="CV411" s="9"/>
      <c r="CW411" s="9"/>
      <c r="CX411" s="9"/>
      <c r="CY411" s="9"/>
      <c r="CZ411" s="9"/>
    </row>
    <row r="412" spans="2:104" ht="16">
      <c r="B412" s="14"/>
      <c r="C412" s="1662"/>
      <c r="D412" s="1661"/>
      <c r="E412" s="1678" t="s">
        <v>908</v>
      </c>
      <c r="F412" s="1653" t="s">
        <v>24</v>
      </c>
      <c r="G412" s="89" t="s">
        <v>319</v>
      </c>
      <c r="H412" s="89" t="s">
        <v>320</v>
      </c>
      <c r="I412" s="89" t="s">
        <v>321</v>
      </c>
      <c r="J412" s="89" t="s">
        <v>322</v>
      </c>
      <c r="K412" s="89" t="s">
        <v>323</v>
      </c>
      <c r="L412" s="89" t="s">
        <v>324</v>
      </c>
      <c r="M412" s="89" t="s">
        <v>311</v>
      </c>
      <c r="N412" s="145"/>
      <c r="O412" s="145"/>
      <c r="P412" s="145"/>
      <c r="Q412" s="1681"/>
      <c r="R412" s="1683"/>
      <c r="S412" s="1656"/>
      <c r="T412" s="1654"/>
      <c r="U412" s="115" t="s">
        <v>24</v>
      </c>
      <c r="V412" s="115" t="s">
        <v>24</v>
      </c>
      <c r="W412" s="115" t="s">
        <v>24</v>
      </c>
      <c r="X412" s="115" t="s">
        <v>24</v>
      </c>
      <c r="Y412" s="115" t="s">
        <v>24</v>
      </c>
      <c r="Z412" s="92" t="s">
        <v>32</v>
      </c>
      <c r="AA412" s="519" t="s">
        <v>32</v>
      </c>
      <c r="AB412" s="145"/>
      <c r="AC412" s="145"/>
      <c r="AD412" s="145"/>
      <c r="AE412" s="145"/>
      <c r="AF412" s="41"/>
      <c r="AG412" s="41"/>
      <c r="BH412" s="1201"/>
      <c r="BI412" s="1205"/>
      <c r="BJ412" s="1206"/>
      <c r="BK412" s="145"/>
      <c r="BL412" s="145"/>
      <c r="BN412" s="1485"/>
      <c r="BO412" s="1373"/>
      <c r="BP412" s="1197"/>
      <c r="BQ412" s="1188"/>
      <c r="BS412" s="17"/>
      <c r="BT412" s="1201"/>
      <c r="CD412" s="9"/>
      <c r="CE412" s="9"/>
      <c r="CF412" s="145"/>
      <c r="CG412" s="9"/>
      <c r="CH412" s="9"/>
      <c r="CI412" s="9"/>
      <c r="CJ412" s="9"/>
      <c r="CK412" s="9"/>
      <c r="CL412" s="9"/>
      <c r="CM412" s="9"/>
      <c r="CN412" s="9"/>
      <c r="CO412" s="9"/>
      <c r="CP412" s="9"/>
      <c r="CQ412" s="9"/>
      <c r="CR412" s="9"/>
      <c r="CS412" s="9"/>
      <c r="CT412" s="145"/>
      <c r="CU412" s="9"/>
      <c r="CV412" s="9"/>
      <c r="CW412" s="9"/>
      <c r="CX412" s="9"/>
      <c r="CY412" s="9"/>
      <c r="CZ412" s="9"/>
    </row>
    <row r="413" spans="2:104">
      <c r="B413" s="14"/>
      <c r="C413" s="1662"/>
      <c r="D413" s="1661"/>
      <c r="E413" s="1678"/>
      <c r="F413" s="1654"/>
      <c r="G413" s="115" t="s">
        <v>24</v>
      </c>
      <c r="H413" s="115" t="s">
        <v>24</v>
      </c>
      <c r="I413" s="115" t="s">
        <v>24</v>
      </c>
      <c r="J413" s="115" t="s">
        <v>24</v>
      </c>
      <c r="K413" s="115" t="s">
        <v>24</v>
      </c>
      <c r="L413" s="92" t="s">
        <v>32</v>
      </c>
      <c r="M413" s="92" t="s">
        <v>32</v>
      </c>
      <c r="N413" s="145"/>
      <c r="O413" s="145"/>
      <c r="P413" s="145"/>
      <c r="Q413" s="1681"/>
      <c r="R413" s="1683"/>
      <c r="S413" s="1656"/>
      <c r="T413" s="1199" t="s">
        <v>204</v>
      </c>
      <c r="U413" s="1198">
        <v>0.39</v>
      </c>
      <c r="V413" s="1198">
        <v>0.75</v>
      </c>
      <c r="W413" s="1198">
        <v>0.75</v>
      </c>
      <c r="X413" s="1198">
        <v>1</v>
      </c>
      <c r="Y413" s="1198">
        <v>0.15</v>
      </c>
      <c r="Z413" s="1198">
        <f>'[2]3.Hd'!$E$403</f>
        <v>1.6960999999999999</v>
      </c>
      <c r="AA413" s="512">
        <f t="shared" ref="AA413:AA424" si="60">X413*V413*(1-Y413)*Z413</f>
        <v>1.08126375</v>
      </c>
      <c r="AB413" s="145"/>
      <c r="AC413" s="145"/>
      <c r="AD413" s="145"/>
      <c r="AE413" s="145"/>
      <c r="AF413" s="41"/>
      <c r="AG413" s="41"/>
      <c r="BH413" s="1201"/>
      <c r="BI413" s="1205"/>
      <c r="BJ413" s="1206"/>
      <c r="BK413" s="145"/>
      <c r="BL413" s="145"/>
      <c r="BN413" s="1485"/>
      <c r="BO413" s="1373"/>
      <c r="BP413" s="1192"/>
      <c r="BQ413" s="1188"/>
      <c r="BS413" s="17"/>
      <c r="BT413" s="1201"/>
      <c r="CD413" s="9"/>
      <c r="CE413" s="9"/>
      <c r="CF413" s="145"/>
      <c r="CG413" s="9"/>
      <c r="CH413" s="9"/>
      <c r="CI413" s="9"/>
      <c r="CJ413" s="9"/>
      <c r="CK413" s="9"/>
      <c r="CL413" s="9"/>
      <c r="CM413" s="9"/>
      <c r="CN413" s="9"/>
      <c r="CO413" s="9"/>
      <c r="CP413" s="9"/>
      <c r="CQ413" s="9"/>
      <c r="CR413" s="9"/>
      <c r="CS413" s="9"/>
      <c r="CT413" s="145"/>
      <c r="CU413" s="9"/>
      <c r="CV413" s="9"/>
      <c r="CW413" s="9"/>
      <c r="CX413" s="9"/>
      <c r="CY413" s="9"/>
      <c r="CZ413" s="9"/>
    </row>
    <row r="414" spans="2:104" ht="15" customHeight="1">
      <c r="B414" s="14"/>
      <c r="C414" s="1662"/>
      <c r="D414" s="1661"/>
      <c r="E414" s="1678"/>
      <c r="F414" s="1214" t="s">
        <v>204</v>
      </c>
      <c r="G414" s="1213">
        <v>0.39</v>
      </c>
      <c r="H414" s="1213">
        <v>0.75</v>
      </c>
      <c r="I414" s="1213">
        <v>0.75</v>
      </c>
      <c r="J414" s="1213">
        <v>1</v>
      </c>
      <c r="K414" s="1213">
        <v>0.15</v>
      </c>
      <c r="L414" s="1213">
        <f>'[2]3.Hd'!$E$403</f>
        <v>1.6960999999999999</v>
      </c>
      <c r="M414" s="1213">
        <f t="shared" ref="M414:M425" si="61">J414*H414*(1-K414)*L414</f>
        <v>1.08126375</v>
      </c>
      <c r="N414" s="17"/>
      <c r="O414" s="380"/>
      <c r="P414" s="380"/>
      <c r="Q414" s="1681"/>
      <c r="R414" s="1683"/>
      <c r="S414" s="1656"/>
      <c r="T414" s="1199" t="s">
        <v>205</v>
      </c>
      <c r="U414" s="1198">
        <v>0.55000000000000004</v>
      </c>
      <c r="V414" s="1198">
        <v>0.75</v>
      </c>
      <c r="W414" s="1198">
        <v>0.75</v>
      </c>
      <c r="X414" s="1198">
        <v>1</v>
      </c>
      <c r="Y414" s="1198">
        <v>0.15</v>
      </c>
      <c r="Z414" s="1198">
        <f>'[2]3.Hd'!$E$403</f>
        <v>1.6960999999999999</v>
      </c>
      <c r="AA414" s="512">
        <f t="shared" si="60"/>
        <v>1.08126375</v>
      </c>
      <c r="AB414" s="145"/>
      <c r="AC414" s="145"/>
      <c r="AD414" s="145"/>
      <c r="AE414" s="145"/>
      <c r="AF414" s="41"/>
      <c r="AG414" s="41"/>
      <c r="BH414" s="1201"/>
      <c r="BI414" s="1205"/>
      <c r="BJ414" s="1206"/>
      <c r="BK414" s="145"/>
      <c r="BL414" s="145"/>
      <c r="BN414" s="1485"/>
      <c r="BO414" s="1373"/>
      <c r="BP414" s="1192"/>
      <c r="BQ414" s="1188"/>
      <c r="BS414" s="17"/>
      <c r="BT414" s="1201"/>
      <c r="CD414" s="9"/>
      <c r="CE414" s="9"/>
      <c r="CF414" s="145"/>
      <c r="CG414" s="9"/>
      <c r="CH414" s="9"/>
      <c r="CI414" s="9"/>
      <c r="CJ414" s="9"/>
      <c r="CK414" s="9"/>
      <c r="CL414" s="9"/>
      <c r="CM414" s="9"/>
      <c r="CN414" s="9"/>
      <c r="CO414" s="9"/>
      <c r="CP414" s="9"/>
      <c r="CQ414" s="9"/>
      <c r="CR414" s="9"/>
      <c r="CS414" s="9"/>
      <c r="CT414" s="145"/>
      <c r="CU414" s="9"/>
      <c r="CV414" s="9"/>
      <c r="CW414" s="9"/>
      <c r="CX414" s="9"/>
      <c r="CY414" s="9"/>
      <c r="CZ414" s="9"/>
    </row>
    <row r="415" spans="2:104">
      <c r="B415" s="14"/>
      <c r="C415" s="1662"/>
      <c r="D415" s="1661"/>
      <c r="E415" s="1678"/>
      <c r="F415" s="1214" t="s">
        <v>205</v>
      </c>
      <c r="G415" s="1213">
        <v>0.55000000000000004</v>
      </c>
      <c r="H415" s="1213">
        <v>0.75</v>
      </c>
      <c r="I415" s="1213">
        <v>0.75</v>
      </c>
      <c r="J415" s="1213">
        <v>1</v>
      </c>
      <c r="K415" s="1213">
        <v>0.15</v>
      </c>
      <c r="L415" s="1213">
        <f>'[2]3.Hd'!$E$403</f>
        <v>1.6960999999999999</v>
      </c>
      <c r="M415" s="1213">
        <f t="shared" si="61"/>
        <v>1.08126375</v>
      </c>
      <c r="N415" s="17"/>
      <c r="O415" s="145"/>
      <c r="P415" s="145"/>
      <c r="Q415" s="1681"/>
      <c r="R415" s="1683"/>
      <c r="S415" s="1656"/>
      <c r="T415" s="1199" t="s">
        <v>206</v>
      </c>
      <c r="U415" s="1198">
        <v>0.63</v>
      </c>
      <c r="V415" s="1198">
        <v>0.75</v>
      </c>
      <c r="W415" s="1198">
        <v>0.75</v>
      </c>
      <c r="X415" s="1198">
        <v>1</v>
      </c>
      <c r="Y415" s="1198">
        <v>0.15</v>
      </c>
      <c r="Z415" s="1198">
        <f>'[2]3.Hd'!$E$403</f>
        <v>1.6960999999999999</v>
      </c>
      <c r="AA415" s="512">
        <f t="shared" si="60"/>
        <v>1.08126375</v>
      </c>
      <c r="AB415" s="145"/>
      <c r="AC415" s="145"/>
      <c r="AD415" s="145"/>
      <c r="AE415" s="145"/>
      <c r="AF415" s="41"/>
      <c r="AG415" s="41"/>
      <c r="BH415" s="1201"/>
      <c r="BI415" s="1205"/>
      <c r="BJ415" s="1206"/>
      <c r="BK415" s="145"/>
      <c r="BL415" s="145"/>
      <c r="BN415" s="1485"/>
      <c r="BO415" s="1373"/>
      <c r="BP415" s="1192"/>
      <c r="BQ415" s="847" t="s">
        <v>619</v>
      </c>
      <c r="BS415" s="17"/>
      <c r="BT415" s="1201"/>
      <c r="CD415" s="9"/>
      <c r="CE415" s="9"/>
      <c r="CF415" s="145"/>
      <c r="CG415" s="9"/>
      <c r="CH415" s="9"/>
      <c r="CI415" s="9"/>
      <c r="CJ415" s="9"/>
      <c r="CK415" s="9"/>
      <c r="CL415" s="9"/>
      <c r="CM415" s="9"/>
      <c r="CN415" s="9"/>
      <c r="CO415" s="9"/>
      <c r="CP415" s="9"/>
      <c r="CQ415" s="9"/>
      <c r="CR415" s="9"/>
      <c r="CS415" s="9"/>
      <c r="CT415" s="145"/>
      <c r="CU415" s="9"/>
      <c r="CV415" s="9"/>
      <c r="CW415" s="9"/>
      <c r="CX415" s="9"/>
      <c r="CY415" s="9"/>
      <c r="CZ415" s="9"/>
    </row>
    <row r="416" spans="2:104">
      <c r="B416" s="14"/>
      <c r="C416" s="1662"/>
      <c r="D416" s="1661"/>
      <c r="E416" s="1678"/>
      <c r="F416" s="1214" t="s">
        <v>206</v>
      </c>
      <c r="G416" s="1213">
        <v>0.63</v>
      </c>
      <c r="H416" s="1213">
        <v>0.75</v>
      </c>
      <c r="I416" s="1213">
        <v>0.75</v>
      </c>
      <c r="J416" s="1213">
        <v>1</v>
      </c>
      <c r="K416" s="1213">
        <v>0.15</v>
      </c>
      <c r="L416" s="1213">
        <f>'[2]3.Hd'!$E$403</f>
        <v>1.6960999999999999</v>
      </c>
      <c r="M416" s="1213">
        <f t="shared" si="61"/>
        <v>1.08126375</v>
      </c>
      <c r="N416" s="145"/>
      <c r="O416" s="145"/>
      <c r="P416" s="145"/>
      <c r="Q416" s="1681"/>
      <c r="R416" s="1683"/>
      <c r="S416" s="1656"/>
      <c r="T416" s="1199" t="s">
        <v>207</v>
      </c>
      <c r="U416" s="1198">
        <v>0.62</v>
      </c>
      <c r="V416" s="1198">
        <v>0.75</v>
      </c>
      <c r="W416" s="1198">
        <v>0.75</v>
      </c>
      <c r="X416" s="1198">
        <v>1</v>
      </c>
      <c r="Y416" s="1198">
        <v>0.15</v>
      </c>
      <c r="Z416" s="1198">
        <f>'[2]3.Hd'!$E$403</f>
        <v>1.6960999999999999</v>
      </c>
      <c r="AA416" s="512">
        <f t="shared" si="60"/>
        <v>1.08126375</v>
      </c>
      <c r="AB416" s="145"/>
      <c r="AC416" s="145"/>
      <c r="AD416" s="145"/>
      <c r="AE416" s="145"/>
      <c r="AF416" s="41"/>
      <c r="AG416" s="41"/>
      <c r="BH416" s="1201"/>
      <c r="BI416" s="1205"/>
      <c r="BJ416" s="1206"/>
      <c r="BK416" s="145"/>
      <c r="BL416" s="145"/>
      <c r="BN416" s="1485"/>
      <c r="BO416" s="1373"/>
      <c r="BP416" s="1193"/>
      <c r="BQ416" s="852" t="s">
        <v>631</v>
      </c>
      <c r="BS416" s="17"/>
      <c r="BT416" s="1201"/>
      <c r="CD416" s="9"/>
      <c r="CE416" s="9"/>
      <c r="CF416" s="145"/>
      <c r="CG416" s="9"/>
      <c r="CH416" s="9"/>
      <c r="CI416" s="9"/>
      <c r="CJ416" s="9"/>
      <c r="CK416" s="9"/>
      <c r="CL416" s="9"/>
      <c r="CM416" s="9"/>
      <c r="CN416" s="9"/>
      <c r="CO416" s="9"/>
      <c r="CP416" s="9"/>
      <c r="CQ416" s="9"/>
      <c r="CR416" s="9"/>
      <c r="CS416" s="9"/>
      <c r="CT416" s="145"/>
      <c r="CU416" s="9"/>
      <c r="CV416" s="9"/>
      <c r="CW416" s="9"/>
      <c r="CX416" s="9"/>
      <c r="CY416" s="9"/>
      <c r="CZ416" s="9"/>
    </row>
    <row r="417" spans="1:104">
      <c r="B417" s="14"/>
      <c r="C417" s="1662"/>
      <c r="D417" s="1661"/>
      <c r="E417" s="1678"/>
      <c r="F417" s="1214" t="s">
        <v>207</v>
      </c>
      <c r="G417" s="1213">
        <v>0.62</v>
      </c>
      <c r="H417" s="1213">
        <v>0.75</v>
      </c>
      <c r="I417" s="1213">
        <v>0.75</v>
      </c>
      <c r="J417" s="1213">
        <v>1</v>
      </c>
      <c r="K417" s="1213">
        <v>0.15</v>
      </c>
      <c r="L417" s="1213">
        <f>'[2]3.Hd'!$E$403</f>
        <v>1.6960999999999999</v>
      </c>
      <c r="M417" s="1213">
        <f t="shared" si="61"/>
        <v>1.08126375</v>
      </c>
      <c r="N417" s="145"/>
      <c r="O417" s="145"/>
      <c r="P417" s="145"/>
      <c r="Q417" s="1681"/>
      <c r="R417" s="1683"/>
      <c r="S417" s="1656"/>
      <c r="T417" s="1199" t="s">
        <v>208</v>
      </c>
      <c r="U417" s="1198">
        <v>0.64</v>
      </c>
      <c r="V417" s="1198">
        <v>0.75</v>
      </c>
      <c r="W417" s="1198">
        <v>0.75</v>
      </c>
      <c r="X417" s="1198">
        <v>1</v>
      </c>
      <c r="Y417" s="1198">
        <v>0.15</v>
      </c>
      <c r="Z417" s="1198">
        <f>'[2]3.Hd'!$E$403</f>
        <v>1.6960999999999999</v>
      </c>
      <c r="AA417" s="512">
        <f t="shared" si="60"/>
        <v>1.08126375</v>
      </c>
      <c r="AB417" s="145"/>
      <c r="AC417" s="145"/>
      <c r="AD417" s="145"/>
      <c r="AE417" s="145"/>
      <c r="AF417" s="41"/>
      <c r="AG417" s="41"/>
      <c r="BH417" s="1201"/>
      <c r="BI417" s="1205"/>
      <c r="BJ417" s="1206"/>
      <c r="BK417" s="145"/>
      <c r="BL417" s="145"/>
      <c r="BN417" s="1485"/>
      <c r="BO417" s="1373"/>
      <c r="BP417" s="1192" t="s">
        <v>22</v>
      </c>
      <c r="BQ417" s="1188"/>
      <c r="BS417" s="17"/>
      <c r="BT417" s="1201"/>
      <c r="CD417" s="9"/>
      <c r="CE417" s="9"/>
      <c r="CF417" s="145"/>
      <c r="CG417" s="9"/>
      <c r="CH417" s="9"/>
      <c r="CI417" s="9"/>
      <c r="CJ417" s="9"/>
      <c r="CK417" s="9"/>
      <c r="CL417" s="9"/>
      <c r="CM417" s="9"/>
      <c r="CN417" s="9"/>
      <c r="CO417" s="9"/>
      <c r="CP417" s="9"/>
      <c r="CQ417" s="9"/>
      <c r="CR417" s="9"/>
      <c r="CS417" s="9"/>
      <c r="CT417" s="145"/>
      <c r="CU417" s="9"/>
      <c r="CV417" s="9"/>
      <c r="CW417" s="9"/>
      <c r="CX417" s="9"/>
      <c r="CY417" s="9"/>
      <c r="CZ417" s="9"/>
    </row>
    <row r="418" spans="1:104">
      <c r="B418" s="14"/>
      <c r="C418" s="1662"/>
      <c r="D418" s="1661"/>
      <c r="E418" s="1678"/>
      <c r="F418" s="1214" t="s">
        <v>208</v>
      </c>
      <c r="G418" s="1213">
        <v>0.64</v>
      </c>
      <c r="H418" s="1213">
        <v>0.75</v>
      </c>
      <c r="I418" s="1213">
        <v>0.75</v>
      </c>
      <c r="J418" s="1213">
        <v>1</v>
      </c>
      <c r="K418" s="1213">
        <v>0.15</v>
      </c>
      <c r="L418" s="1213">
        <f>'[2]3.Hd'!$E$403</f>
        <v>1.6960999999999999</v>
      </c>
      <c r="M418" s="1213">
        <f t="shared" si="61"/>
        <v>1.08126375</v>
      </c>
      <c r="N418" s="145"/>
      <c r="O418" s="145"/>
      <c r="P418" s="145"/>
      <c r="Q418" s="1681"/>
      <c r="R418" s="1683"/>
      <c r="S418" s="1656"/>
      <c r="T418" s="1199" t="s">
        <v>209</v>
      </c>
      <c r="U418" s="1198">
        <v>0.68</v>
      </c>
      <c r="V418" s="1198">
        <v>0.75</v>
      </c>
      <c r="W418" s="1198">
        <v>0.75</v>
      </c>
      <c r="X418" s="1198">
        <v>1</v>
      </c>
      <c r="Y418" s="1198">
        <v>0.15</v>
      </c>
      <c r="Z418" s="1198">
        <f>'[2]3.Hd'!$E$403</f>
        <v>1.6960999999999999</v>
      </c>
      <c r="AA418" s="512">
        <f t="shared" si="60"/>
        <v>1.08126375</v>
      </c>
      <c r="AB418" s="145"/>
      <c r="AC418" s="145"/>
      <c r="AD418" s="145"/>
      <c r="AE418" s="145"/>
      <c r="AF418" s="41"/>
      <c r="AG418" s="41"/>
      <c r="BH418" s="1201"/>
      <c r="BI418" s="1205"/>
      <c r="BJ418" s="1206"/>
      <c r="BK418" s="145"/>
      <c r="BL418" s="145"/>
      <c r="BN418" s="1485"/>
      <c r="BO418" s="1373"/>
      <c r="BP418" s="1193"/>
      <c r="BQ418" s="1190"/>
      <c r="BS418" s="17"/>
      <c r="BT418" s="1201"/>
      <c r="CD418" s="9"/>
      <c r="CE418" s="9"/>
      <c r="CF418" s="145"/>
      <c r="CG418" s="9"/>
      <c r="CH418" s="9"/>
      <c r="CI418" s="9"/>
      <c r="CJ418" s="9"/>
      <c r="CK418" s="9"/>
      <c r="CL418" s="9"/>
      <c r="CM418" s="9"/>
      <c r="CN418" s="9"/>
      <c r="CO418" s="9"/>
      <c r="CP418" s="9"/>
      <c r="CQ418" s="9"/>
      <c r="CR418" s="9"/>
      <c r="CS418" s="9"/>
      <c r="CT418" s="145"/>
      <c r="CU418" s="9"/>
      <c r="CV418" s="9"/>
      <c r="CW418" s="9"/>
      <c r="CX418" s="9"/>
      <c r="CY418" s="9"/>
      <c r="CZ418" s="9"/>
    </row>
    <row r="419" spans="1:104">
      <c r="B419" s="14"/>
      <c r="C419" s="1662"/>
      <c r="D419" s="1661"/>
      <c r="E419" s="1678"/>
      <c r="F419" s="1214" t="s">
        <v>209</v>
      </c>
      <c r="G419" s="1213">
        <v>0.68</v>
      </c>
      <c r="H419" s="1213">
        <v>0.75</v>
      </c>
      <c r="I419" s="1213">
        <v>0.75</v>
      </c>
      <c r="J419" s="1213">
        <v>1</v>
      </c>
      <c r="K419" s="1213">
        <v>0.15</v>
      </c>
      <c r="L419" s="1213">
        <f>'[2]3.Hd'!$E$403</f>
        <v>1.6960999999999999</v>
      </c>
      <c r="M419" s="1213">
        <f t="shared" si="61"/>
        <v>1.08126375</v>
      </c>
      <c r="N419" s="145"/>
      <c r="O419" s="145"/>
      <c r="P419" s="145"/>
      <c r="Q419" s="1681"/>
      <c r="R419" s="1683"/>
      <c r="S419" s="1656"/>
      <c r="T419" s="1199" t="s">
        <v>210</v>
      </c>
      <c r="U419" s="1198">
        <v>0.73</v>
      </c>
      <c r="V419" s="1198">
        <v>0.75</v>
      </c>
      <c r="W419" s="1198">
        <v>0.75</v>
      </c>
      <c r="X419" s="1198">
        <v>1</v>
      </c>
      <c r="Y419" s="1198">
        <v>0.15</v>
      </c>
      <c r="Z419" s="1198">
        <f>'[2]3.Hd'!$E$403</f>
        <v>1.6960999999999999</v>
      </c>
      <c r="AA419" s="512">
        <f t="shared" si="60"/>
        <v>1.08126375</v>
      </c>
      <c r="AB419" s="145"/>
      <c r="AC419" s="145"/>
      <c r="AD419" s="145"/>
      <c r="AE419" s="145"/>
      <c r="AF419" s="41"/>
      <c r="AG419" s="41"/>
      <c r="BH419" s="1201"/>
      <c r="BI419" s="1205"/>
      <c r="BJ419" s="1206"/>
      <c r="BK419" s="145"/>
      <c r="BL419" s="145"/>
      <c r="BN419" s="1485"/>
      <c r="BO419" s="1373"/>
      <c r="BP419" s="1191" t="s">
        <v>803</v>
      </c>
      <c r="BQ419" s="1186"/>
      <c r="BS419" s="17"/>
      <c r="BT419" s="1201"/>
      <c r="CD419" s="9"/>
      <c r="CE419" s="9"/>
      <c r="CF419" s="145"/>
      <c r="CG419" s="9"/>
      <c r="CH419" s="9"/>
      <c r="CI419" s="9"/>
      <c r="CJ419" s="9"/>
      <c r="CK419" s="9"/>
      <c r="CL419" s="9"/>
      <c r="CM419" s="9"/>
      <c r="CN419" s="9"/>
      <c r="CO419" s="9"/>
      <c r="CP419" s="9"/>
      <c r="CQ419" s="9"/>
      <c r="CR419" s="9"/>
      <c r="CS419" s="9"/>
      <c r="CT419" s="145"/>
      <c r="CU419" s="9"/>
      <c r="CV419" s="9"/>
      <c r="CW419" s="9"/>
      <c r="CX419" s="9"/>
      <c r="CY419" s="9"/>
      <c r="CZ419" s="9"/>
    </row>
    <row r="420" spans="1:104">
      <c r="B420" s="14"/>
      <c r="C420" s="1662"/>
      <c r="D420" s="1661"/>
      <c r="E420" s="1678"/>
      <c r="F420" s="1214" t="s">
        <v>210</v>
      </c>
      <c r="G420" s="1213">
        <v>0.73</v>
      </c>
      <c r="H420" s="1213">
        <v>0.75</v>
      </c>
      <c r="I420" s="1213">
        <v>0.75</v>
      </c>
      <c r="J420" s="1213">
        <v>1</v>
      </c>
      <c r="K420" s="1213">
        <v>0.15</v>
      </c>
      <c r="L420" s="1213">
        <f>'[2]3.Hd'!$E$403</f>
        <v>1.6960999999999999</v>
      </c>
      <c r="M420" s="1213">
        <f t="shared" si="61"/>
        <v>1.08126375</v>
      </c>
      <c r="N420" s="145"/>
      <c r="O420" s="145"/>
      <c r="P420" s="145"/>
      <c r="Q420" s="1681"/>
      <c r="R420" s="1683"/>
      <c r="S420" s="1656"/>
      <c r="T420" s="1199" t="s">
        <v>211</v>
      </c>
      <c r="U420" s="1198">
        <v>0.72</v>
      </c>
      <c r="V420" s="1198">
        <v>0.75</v>
      </c>
      <c r="W420" s="1198">
        <v>0.75</v>
      </c>
      <c r="X420" s="1198">
        <v>1</v>
      </c>
      <c r="Y420" s="1198">
        <v>0.15</v>
      </c>
      <c r="Z420" s="1198">
        <f>'[2]3.Hd'!$E$403</f>
        <v>1.6960999999999999</v>
      </c>
      <c r="AA420" s="512">
        <f t="shared" si="60"/>
        <v>1.08126375</v>
      </c>
      <c r="AB420" s="145"/>
      <c r="AC420" s="145"/>
      <c r="AD420" s="145"/>
      <c r="AE420" s="145"/>
      <c r="AF420" s="41"/>
      <c r="AG420" s="41"/>
      <c r="BH420" s="1201"/>
      <c r="BI420" s="1205"/>
      <c r="BJ420" s="1206"/>
      <c r="BK420" s="145"/>
      <c r="BL420" s="145"/>
      <c r="BN420" s="1485"/>
      <c r="BO420" s="1373"/>
      <c r="BP420" s="1192"/>
      <c r="BQ420" s="1188"/>
      <c r="BS420" s="17"/>
      <c r="BT420" s="1201"/>
      <c r="CD420" s="9"/>
      <c r="CE420" s="9"/>
      <c r="CF420" s="145"/>
      <c r="CG420" s="9"/>
      <c r="CH420" s="9"/>
      <c r="CI420" s="9"/>
      <c r="CJ420" s="9"/>
      <c r="CK420" s="9"/>
      <c r="CL420" s="9"/>
      <c r="CM420" s="9"/>
      <c r="CN420" s="9"/>
      <c r="CO420" s="9"/>
      <c r="CP420" s="9"/>
      <c r="CQ420" s="9"/>
      <c r="CR420" s="9"/>
      <c r="CS420" s="9"/>
      <c r="CT420" s="145"/>
      <c r="CU420" s="9"/>
      <c r="CV420" s="9"/>
      <c r="CW420" s="9"/>
      <c r="CX420" s="9"/>
      <c r="CY420" s="9"/>
      <c r="CZ420" s="9"/>
    </row>
    <row r="421" spans="1:104">
      <c r="B421" s="14"/>
      <c r="C421" s="1662"/>
      <c r="D421" s="1661"/>
      <c r="E421" s="1678"/>
      <c r="F421" s="1214" t="s">
        <v>211</v>
      </c>
      <c r="G421" s="1213">
        <v>0.72</v>
      </c>
      <c r="H421" s="1213">
        <v>0.75</v>
      </c>
      <c r="I421" s="1213">
        <v>0.75</v>
      </c>
      <c r="J421" s="1213">
        <v>1</v>
      </c>
      <c r="K421" s="1213">
        <v>0.15</v>
      </c>
      <c r="L421" s="1213">
        <f>'[2]3.Hd'!$E$403</f>
        <v>1.6960999999999999</v>
      </c>
      <c r="M421" s="1213">
        <f t="shared" si="61"/>
        <v>1.08126375</v>
      </c>
      <c r="N421" s="145"/>
      <c r="O421" s="145"/>
      <c r="P421" s="145"/>
      <c r="Q421" s="1681"/>
      <c r="R421" s="1683"/>
      <c r="S421" s="1656"/>
      <c r="T421" s="1199" t="s">
        <v>212</v>
      </c>
      <c r="U421" s="1198">
        <v>0.67</v>
      </c>
      <c r="V421" s="1198">
        <v>0.75</v>
      </c>
      <c r="W421" s="1198">
        <v>0.75</v>
      </c>
      <c r="X421" s="1198">
        <v>1</v>
      </c>
      <c r="Y421" s="1198">
        <v>0.15</v>
      </c>
      <c r="Z421" s="1198">
        <f>'[2]3.Hd'!$E$403</f>
        <v>1.6960999999999999</v>
      </c>
      <c r="AA421" s="512">
        <f t="shared" si="60"/>
        <v>1.08126375</v>
      </c>
      <c r="AB421" s="145"/>
      <c r="AC421" s="145"/>
      <c r="AD421" s="145"/>
      <c r="AE421" s="145"/>
      <c r="AF421" s="41"/>
      <c r="AG421" s="41"/>
      <c r="BH421" s="1201"/>
      <c r="BI421" s="1205"/>
      <c r="BJ421" s="1206"/>
      <c r="BK421" s="145"/>
      <c r="BL421" s="145"/>
      <c r="BN421" s="1485"/>
      <c r="BO421" s="1373"/>
      <c r="BP421" s="1193"/>
      <c r="BQ421" s="1190"/>
      <c r="BS421" s="17"/>
      <c r="BT421" s="1201"/>
      <c r="CD421" s="9"/>
      <c r="CE421" s="9"/>
      <c r="CF421" s="145"/>
      <c r="CG421" s="9"/>
      <c r="CH421" s="9"/>
      <c r="CI421" s="9"/>
      <c r="CJ421" s="9"/>
      <c r="CK421" s="9"/>
      <c r="CL421" s="9"/>
      <c r="CM421" s="9"/>
      <c r="CN421" s="9"/>
      <c r="CO421" s="9"/>
      <c r="CP421" s="9"/>
      <c r="CQ421" s="9"/>
      <c r="CR421" s="9"/>
      <c r="CS421" s="9"/>
      <c r="CT421" s="145"/>
      <c r="CU421" s="9"/>
      <c r="CV421" s="9"/>
      <c r="CW421" s="9"/>
      <c r="CX421" s="9"/>
      <c r="CY421" s="9"/>
      <c r="CZ421" s="9"/>
    </row>
    <row r="422" spans="1:104" ht="15" customHeight="1">
      <c r="B422" s="14"/>
      <c r="C422" s="1662"/>
      <c r="D422" s="1661"/>
      <c r="E422" s="1678"/>
      <c r="F422" s="1214" t="s">
        <v>212</v>
      </c>
      <c r="G422" s="1213">
        <v>0.67</v>
      </c>
      <c r="H422" s="1213">
        <v>0.75</v>
      </c>
      <c r="I422" s="1213">
        <v>0.75</v>
      </c>
      <c r="J422" s="1213">
        <v>1</v>
      </c>
      <c r="K422" s="1213">
        <v>0.15</v>
      </c>
      <c r="L422" s="1213">
        <f>'[2]3.Hd'!$E$403</f>
        <v>1.6960999999999999</v>
      </c>
      <c r="M422" s="1213">
        <f t="shared" si="61"/>
        <v>1.08126375</v>
      </c>
      <c r="N422" s="145"/>
      <c r="O422" s="145"/>
      <c r="P422" s="145"/>
      <c r="Q422" s="1681"/>
      <c r="R422" s="1683"/>
      <c r="S422" s="1656"/>
      <c r="T422" s="1199" t="s">
        <v>213</v>
      </c>
      <c r="U422" s="1198">
        <v>0.6</v>
      </c>
      <c r="V422" s="1198">
        <v>0.75</v>
      </c>
      <c r="W422" s="1198">
        <v>0.75</v>
      </c>
      <c r="X422" s="1198">
        <v>1</v>
      </c>
      <c r="Y422" s="1198">
        <v>0.15</v>
      </c>
      <c r="Z422" s="1198">
        <f>'[2]3.Hd'!$E$403</f>
        <v>1.6960999999999999</v>
      </c>
      <c r="AA422" s="512">
        <f t="shared" si="60"/>
        <v>1.08126375</v>
      </c>
      <c r="AB422" s="145"/>
      <c r="AC422" s="145"/>
      <c r="AD422" s="145"/>
      <c r="AE422" s="145"/>
      <c r="AF422" s="41"/>
      <c r="AG422" s="41"/>
      <c r="BH422" s="159"/>
      <c r="BI422" s="145"/>
      <c r="BJ422" s="560"/>
      <c r="BK422" s="560"/>
      <c r="BL422" s="560"/>
      <c r="BN422" s="1485"/>
      <c r="BO422" s="1373"/>
      <c r="BP422" s="1191" t="s">
        <v>802</v>
      </c>
      <c r="BQ422" s="1186"/>
      <c r="BS422" s="14"/>
      <c r="BT422" s="560"/>
      <c r="CD422" s="9"/>
      <c r="CE422" s="9"/>
      <c r="CF422" s="41"/>
      <c r="CG422" s="9"/>
      <c r="CH422" s="9"/>
      <c r="CI422" s="9"/>
      <c r="CJ422" s="9"/>
      <c r="CK422" s="9"/>
      <c r="CL422" s="9"/>
      <c r="CM422" s="9"/>
      <c r="CN422" s="9"/>
      <c r="CO422" s="9"/>
      <c r="CP422" s="9"/>
      <c r="CQ422" s="9"/>
      <c r="CR422" s="9"/>
      <c r="CS422" s="9"/>
      <c r="CT422" s="41"/>
      <c r="CU422" s="9"/>
      <c r="CV422" s="9"/>
      <c r="CW422" s="9"/>
      <c r="CX422" s="9"/>
      <c r="CY422" s="9"/>
      <c r="CZ422" s="9"/>
    </row>
    <row r="423" spans="1:104" ht="15" customHeight="1">
      <c r="B423" s="14"/>
      <c r="C423" s="1662"/>
      <c r="D423" s="1661"/>
      <c r="E423" s="1678"/>
      <c r="F423" s="1214" t="s">
        <v>213</v>
      </c>
      <c r="G423" s="1213">
        <v>0.6</v>
      </c>
      <c r="H423" s="1213">
        <v>0.75</v>
      </c>
      <c r="I423" s="1213">
        <v>0.75</v>
      </c>
      <c r="J423" s="1213">
        <v>1</v>
      </c>
      <c r="K423" s="1213">
        <v>0.15</v>
      </c>
      <c r="L423" s="1213">
        <f>'[2]3.Hd'!$E$403</f>
        <v>1.6960999999999999</v>
      </c>
      <c r="M423" s="1213">
        <f t="shared" si="61"/>
        <v>1.08126375</v>
      </c>
      <c r="N423" s="145"/>
      <c r="O423" s="145"/>
      <c r="P423" s="145"/>
      <c r="Q423" s="1681"/>
      <c r="R423" s="1683"/>
      <c r="S423" s="1656"/>
      <c r="T423" s="1199" t="s">
        <v>214</v>
      </c>
      <c r="U423" s="1198">
        <v>0.3</v>
      </c>
      <c r="V423" s="1198">
        <v>0.75</v>
      </c>
      <c r="W423" s="1198">
        <v>0.75</v>
      </c>
      <c r="X423" s="1198">
        <v>0.99999999999999989</v>
      </c>
      <c r="Y423" s="1198">
        <v>0.15</v>
      </c>
      <c r="Z423" s="1198">
        <f>'[2]3.Hd'!$E$403</f>
        <v>1.6960999999999999</v>
      </c>
      <c r="AA423" s="512">
        <f t="shared" si="60"/>
        <v>1.0812637499999997</v>
      </c>
      <c r="AB423" s="380"/>
      <c r="AC423" s="380"/>
      <c r="AD423" s="380"/>
      <c r="AE423" s="380"/>
      <c r="AF423" s="380"/>
      <c r="AG423" s="41"/>
      <c r="BH423" s="1201"/>
      <c r="BI423" s="17"/>
      <c r="BJ423" s="560"/>
      <c r="BK423" s="560"/>
      <c r="BL423" s="560"/>
      <c r="BN423" s="1485"/>
      <c r="BO423" s="1373"/>
      <c r="BP423" s="1192"/>
      <c r="BQ423" s="1188"/>
      <c r="BT423" s="560"/>
      <c r="CD423" s="9"/>
      <c r="CE423" s="9"/>
      <c r="CF423" s="9"/>
      <c r="CG423" s="9"/>
      <c r="CH423" s="9"/>
      <c r="CI423" s="9"/>
      <c r="CJ423" s="9"/>
      <c r="CK423" s="9"/>
      <c r="CL423" s="9"/>
      <c r="CM423" s="9"/>
      <c r="CN423" s="9"/>
      <c r="CO423" s="9"/>
      <c r="CP423" s="9"/>
      <c r="CQ423" s="9"/>
      <c r="CR423" s="9"/>
      <c r="CS423" s="9"/>
      <c r="CT423" s="9"/>
      <c r="CU423" s="9"/>
      <c r="CV423" s="9"/>
      <c r="CW423" s="9"/>
      <c r="CX423" s="9"/>
      <c r="CY423" s="9"/>
      <c r="CZ423" s="9"/>
    </row>
    <row r="424" spans="1:104">
      <c r="B424" s="14"/>
      <c r="C424" s="1662"/>
      <c r="D424" s="1661"/>
      <c r="E424" s="1678"/>
      <c r="F424" s="1214" t="s">
        <v>214</v>
      </c>
      <c r="G424" s="1213">
        <v>0.3</v>
      </c>
      <c r="H424" s="1213">
        <v>0.75</v>
      </c>
      <c r="I424" s="1213">
        <v>0.75</v>
      </c>
      <c r="J424" s="1213">
        <v>0.99999999999999989</v>
      </c>
      <c r="K424" s="1213">
        <v>0.15</v>
      </c>
      <c r="L424" s="1213">
        <f>'[2]3.Hd'!$E$403</f>
        <v>1.6960999999999999</v>
      </c>
      <c r="M424" s="1213">
        <f t="shared" si="61"/>
        <v>1.0812637499999997</v>
      </c>
      <c r="N424" s="145"/>
      <c r="O424" s="145"/>
      <c r="P424" s="145"/>
      <c r="Q424" s="1681"/>
      <c r="R424" s="1683"/>
      <c r="S424" s="1657"/>
      <c r="T424" s="1199" t="s">
        <v>215</v>
      </c>
      <c r="U424" s="1198">
        <v>0.42</v>
      </c>
      <c r="V424" s="1198">
        <v>0.75</v>
      </c>
      <c r="W424" s="1198">
        <v>0.75</v>
      </c>
      <c r="X424" s="1198">
        <v>1</v>
      </c>
      <c r="Y424" s="1198">
        <v>0.15</v>
      </c>
      <c r="Z424" s="1198">
        <f>'[2]3.Hd'!$E$403</f>
        <v>1.6960999999999999</v>
      </c>
      <c r="AA424" s="512">
        <f t="shared" si="60"/>
        <v>1.08126375</v>
      </c>
      <c r="AB424" s="145"/>
      <c r="AC424" s="145"/>
      <c r="AD424" s="34"/>
      <c r="AE424" s="34"/>
      <c r="AF424" s="34"/>
      <c r="AG424" s="41"/>
      <c r="BH424" s="1201"/>
      <c r="BI424" s="17"/>
      <c r="BJ424" s="560"/>
      <c r="BK424" s="560"/>
      <c r="BL424" s="560"/>
      <c r="BN424" s="1485"/>
      <c r="BO424" s="1373"/>
      <c r="BP424" s="1192"/>
      <c r="BQ424" s="853" t="s">
        <v>858</v>
      </c>
      <c r="BS424" s="1189"/>
      <c r="BT424" s="560"/>
      <c r="CD424" s="9"/>
      <c r="CE424" s="9"/>
      <c r="CF424" s="9"/>
      <c r="CG424" s="9"/>
      <c r="CH424" s="9"/>
      <c r="CI424" s="9"/>
      <c r="CJ424" s="9"/>
      <c r="CK424" s="9"/>
      <c r="CL424" s="9"/>
      <c r="CM424" s="9"/>
      <c r="CN424" s="9"/>
      <c r="CO424" s="9"/>
      <c r="CP424" s="9"/>
      <c r="CQ424" s="9"/>
      <c r="CR424" s="9"/>
      <c r="CS424" s="9"/>
      <c r="CT424" s="9"/>
      <c r="CU424" s="9"/>
      <c r="CV424" s="9"/>
      <c r="CW424" s="9"/>
      <c r="CX424" s="9"/>
      <c r="CY424" s="9"/>
      <c r="CZ424" s="9"/>
    </row>
    <row r="425" spans="1:104" ht="16">
      <c r="B425" s="14"/>
      <c r="C425" s="1662"/>
      <c r="D425" s="1661"/>
      <c r="E425" s="1678"/>
      <c r="F425" s="1214" t="s">
        <v>215</v>
      </c>
      <c r="G425" s="1213">
        <v>0.42</v>
      </c>
      <c r="H425" s="1213">
        <v>0.75</v>
      </c>
      <c r="I425" s="1213">
        <v>0.75</v>
      </c>
      <c r="J425" s="1213">
        <v>1</v>
      </c>
      <c r="K425" s="1213">
        <v>0.15</v>
      </c>
      <c r="L425" s="1213">
        <f>'[2]3.Hd'!$E$403</f>
        <v>1.6960999999999999</v>
      </c>
      <c r="M425" s="1213">
        <f t="shared" si="61"/>
        <v>1.08126375</v>
      </c>
      <c r="N425" s="145"/>
      <c r="O425" s="145"/>
      <c r="P425" s="145"/>
      <c r="Q425" s="1681"/>
      <c r="R425" s="1683"/>
      <c r="S425" s="1658" t="s">
        <v>919</v>
      </c>
      <c r="T425" s="1653" t="s">
        <v>24</v>
      </c>
      <c r="U425" s="89" t="s">
        <v>319</v>
      </c>
      <c r="V425" s="89" t="s">
        <v>320</v>
      </c>
      <c r="W425" s="89" t="s">
        <v>321</v>
      </c>
      <c r="X425" s="89" t="s">
        <v>322</v>
      </c>
      <c r="Y425" s="89" t="s">
        <v>323</v>
      </c>
      <c r="Z425" s="89" t="s">
        <v>324</v>
      </c>
      <c r="AA425" s="518" t="s">
        <v>311</v>
      </c>
      <c r="AB425" s="145"/>
      <c r="AC425" s="145"/>
      <c r="AD425" s="145"/>
      <c r="AE425" s="145"/>
      <c r="AF425" s="14"/>
      <c r="AG425" s="41"/>
      <c r="BH425" s="1201"/>
      <c r="BI425" s="17"/>
      <c r="BJ425" s="560"/>
      <c r="BK425" s="560"/>
      <c r="BL425" s="560"/>
      <c r="BN425" s="1485"/>
      <c r="BO425" s="1373"/>
      <c r="BP425" s="1193"/>
      <c r="BQ425" s="852" t="s">
        <v>631</v>
      </c>
      <c r="BS425" s="1189"/>
      <c r="BT425" s="560"/>
      <c r="CD425" s="9"/>
      <c r="CE425" s="9"/>
      <c r="CF425" s="9"/>
      <c r="CG425" s="9"/>
      <c r="CH425" s="9"/>
      <c r="CI425" s="9"/>
      <c r="CJ425" s="9"/>
      <c r="CK425" s="9"/>
      <c r="CL425" s="9"/>
      <c r="CM425" s="9"/>
      <c r="CN425" s="9"/>
      <c r="CO425" s="9"/>
      <c r="CP425" s="9"/>
      <c r="CQ425" s="9"/>
      <c r="CR425" s="9"/>
      <c r="CS425" s="9"/>
      <c r="CT425" s="9"/>
      <c r="CU425" s="9"/>
      <c r="CV425" s="9"/>
      <c r="CW425" s="9"/>
      <c r="CX425" s="9"/>
      <c r="CY425" s="9"/>
      <c r="CZ425" s="9"/>
    </row>
    <row r="426" spans="1:104" ht="16">
      <c r="B426" s="14"/>
      <c r="C426" s="1662"/>
      <c r="D426" s="1661"/>
      <c r="E426" s="1672" t="s">
        <v>909</v>
      </c>
      <c r="F426" s="1653" t="s">
        <v>24</v>
      </c>
      <c r="G426" s="89" t="s">
        <v>319</v>
      </c>
      <c r="H426" s="89" t="s">
        <v>320</v>
      </c>
      <c r="I426" s="89" t="s">
        <v>321</v>
      </c>
      <c r="J426" s="89" t="s">
        <v>322</v>
      </c>
      <c r="K426" s="89" t="s">
        <v>323</v>
      </c>
      <c r="L426" s="89" t="s">
        <v>324</v>
      </c>
      <c r="M426" s="89" t="s">
        <v>311</v>
      </c>
      <c r="N426" s="145"/>
      <c r="O426" s="145"/>
      <c r="P426" s="145"/>
      <c r="Q426" s="1681"/>
      <c r="R426" s="1683"/>
      <c r="S426" s="1659"/>
      <c r="T426" s="1654"/>
      <c r="U426" s="115" t="s">
        <v>24</v>
      </c>
      <c r="V426" s="115" t="s">
        <v>24</v>
      </c>
      <c r="W426" s="115" t="s">
        <v>24</v>
      </c>
      <c r="X426" s="115" t="s">
        <v>24</v>
      </c>
      <c r="Y426" s="115" t="s">
        <v>24</v>
      </c>
      <c r="Z426" s="92" t="s">
        <v>32</v>
      </c>
      <c r="AA426" s="519" t="s">
        <v>32</v>
      </c>
      <c r="AB426" s="145"/>
      <c r="AC426" s="145"/>
      <c r="AD426" s="145"/>
      <c r="AE426" s="145"/>
      <c r="AF426" s="14"/>
      <c r="AG426" s="41"/>
      <c r="BH426" s="1201"/>
      <c r="BI426" s="17"/>
      <c r="BJ426" s="560"/>
      <c r="BK426" s="560"/>
      <c r="BL426" s="560"/>
      <c r="BN426" s="1485"/>
      <c r="BO426" s="1373"/>
      <c r="BP426" s="1192" t="s">
        <v>587</v>
      </c>
      <c r="BQ426" s="1188"/>
      <c r="BS426" s="1189"/>
      <c r="BT426" s="560"/>
      <c r="CD426" s="9"/>
      <c r="CE426" s="9"/>
      <c r="CF426" s="9"/>
      <c r="CG426" s="9"/>
      <c r="CH426" s="9"/>
      <c r="CI426" s="9"/>
      <c r="CJ426" s="9"/>
      <c r="CK426" s="9"/>
      <c r="CL426" s="9"/>
      <c r="CM426" s="9"/>
      <c r="CN426" s="9"/>
      <c r="CO426" s="9"/>
      <c r="CP426" s="9"/>
      <c r="CQ426" s="9"/>
      <c r="CR426" s="9"/>
      <c r="CS426" s="9"/>
      <c r="CT426" s="9"/>
      <c r="CU426" s="9"/>
      <c r="CV426" s="9"/>
      <c r="CW426" s="9"/>
      <c r="CX426" s="9"/>
      <c r="CY426" s="9"/>
      <c r="CZ426" s="9"/>
    </row>
    <row r="427" spans="1:104">
      <c r="B427" s="14"/>
      <c r="C427" s="1662"/>
      <c r="D427" s="1661"/>
      <c r="E427" s="1672"/>
      <c r="F427" s="1654"/>
      <c r="G427" s="115" t="s">
        <v>24</v>
      </c>
      <c r="H427" s="115" t="s">
        <v>24</v>
      </c>
      <c r="I427" s="115" t="s">
        <v>24</v>
      </c>
      <c r="J427" s="115" t="s">
        <v>24</v>
      </c>
      <c r="K427" s="115" t="s">
        <v>24</v>
      </c>
      <c r="L427" s="92" t="s">
        <v>32</v>
      </c>
      <c r="M427" s="92" t="s">
        <v>32</v>
      </c>
      <c r="N427" s="145"/>
      <c r="O427" s="145"/>
      <c r="P427" s="145"/>
      <c r="Q427" s="1681"/>
      <c r="R427" s="1683"/>
      <c r="S427" s="1659"/>
      <c r="T427" s="1199" t="s">
        <v>204</v>
      </c>
      <c r="U427" s="1198">
        <v>0.39</v>
      </c>
      <c r="V427" s="1198">
        <v>0.75</v>
      </c>
      <c r="W427" s="1198">
        <v>0.75</v>
      </c>
      <c r="X427" s="1198">
        <v>1</v>
      </c>
      <c r="Y427" s="1198">
        <v>0.15</v>
      </c>
      <c r="Z427" s="1198">
        <f>'[2]3.Hd'!$E$403</f>
        <v>1.6960999999999999</v>
      </c>
      <c r="AA427" s="512">
        <f t="shared" ref="AA427:AA438" si="62">X427*V427*(1-Y427)*Z427</f>
        <v>1.08126375</v>
      </c>
      <c r="AB427" s="145"/>
      <c r="AC427" s="145"/>
      <c r="AD427" s="145"/>
      <c r="AE427" s="145"/>
      <c r="AF427" s="14"/>
      <c r="AG427" s="41"/>
      <c r="BH427" s="1201"/>
      <c r="BI427" s="17"/>
      <c r="BJ427" s="560"/>
      <c r="BK427" s="560"/>
      <c r="BL427" s="560"/>
      <c r="BN427" s="1485"/>
      <c r="BO427" s="1373"/>
      <c r="BP427" s="1192"/>
      <c r="BQ427" s="1188"/>
      <c r="BS427" s="1189"/>
      <c r="BT427" s="560"/>
      <c r="CD427" s="9"/>
      <c r="CE427" s="9"/>
      <c r="CF427" s="9"/>
      <c r="CG427" s="9"/>
      <c r="CH427" s="9"/>
      <c r="CI427" s="9"/>
      <c r="CJ427" s="9"/>
      <c r="CK427" s="9"/>
      <c r="CL427" s="9"/>
      <c r="CM427" s="9"/>
      <c r="CN427" s="9"/>
      <c r="CO427" s="9"/>
      <c r="CP427" s="9"/>
      <c r="CQ427" s="9"/>
      <c r="CR427" s="9"/>
      <c r="CS427" s="9"/>
      <c r="CT427" s="9"/>
      <c r="CU427" s="9"/>
      <c r="CV427" s="9"/>
      <c r="CW427" s="9"/>
      <c r="CX427" s="9"/>
      <c r="CY427" s="9"/>
      <c r="CZ427" s="9"/>
    </row>
    <row r="428" spans="1:104">
      <c r="B428" s="14"/>
      <c r="C428" s="1662"/>
      <c r="D428" s="1661"/>
      <c r="E428" s="1672"/>
      <c r="F428" s="1214" t="s">
        <v>204</v>
      </c>
      <c r="G428" s="1213">
        <v>0.39</v>
      </c>
      <c r="H428" s="1213">
        <v>0.75</v>
      </c>
      <c r="I428" s="1213">
        <v>0.75</v>
      </c>
      <c r="J428" s="1213">
        <v>1</v>
      </c>
      <c r="K428" s="1213">
        <v>0.15</v>
      </c>
      <c r="L428" s="1213">
        <f>'[2]3.Hd'!$E$403</f>
        <v>1.6960999999999999</v>
      </c>
      <c r="M428" s="1213">
        <f t="shared" ref="M428:M439" si="63">J428*H428*(1-K428)*L428</f>
        <v>1.08126375</v>
      </c>
      <c r="N428" s="14"/>
      <c r="O428" s="14"/>
      <c r="P428" s="14"/>
      <c r="Q428" s="1681"/>
      <c r="R428" s="1683"/>
      <c r="S428" s="1659"/>
      <c r="T428" s="1199" t="s">
        <v>205</v>
      </c>
      <c r="U428" s="1198">
        <v>0.55000000000000004</v>
      </c>
      <c r="V428" s="1198">
        <v>0.75</v>
      </c>
      <c r="W428" s="1198">
        <v>0.75</v>
      </c>
      <c r="X428" s="1198">
        <v>1</v>
      </c>
      <c r="Y428" s="1198">
        <v>0.15</v>
      </c>
      <c r="Z428" s="1198">
        <f>'[2]3.Hd'!$E$403</f>
        <v>1.6960999999999999</v>
      </c>
      <c r="AA428" s="512">
        <f t="shared" si="62"/>
        <v>1.08126375</v>
      </c>
      <c r="AB428" s="145"/>
      <c r="AC428" s="145"/>
      <c r="AD428" s="145"/>
      <c r="AE428" s="145"/>
      <c r="AF428" s="14"/>
      <c r="AG428" s="41"/>
      <c r="BN428" s="1485"/>
      <c r="BO428" s="1373"/>
      <c r="BP428" s="1193"/>
      <c r="BQ428" s="854" t="s">
        <v>859</v>
      </c>
      <c r="BS428" s="1189"/>
      <c r="BT428" s="560"/>
      <c r="CD428" s="9"/>
      <c r="CE428" s="9"/>
      <c r="CF428" s="9"/>
      <c r="CG428" s="9"/>
      <c r="CH428" s="9"/>
      <c r="CI428" s="9"/>
      <c r="CJ428" s="9"/>
      <c r="CK428" s="9"/>
      <c r="CL428" s="9"/>
      <c r="CM428" s="9"/>
      <c r="CN428" s="9"/>
      <c r="CO428" s="9"/>
      <c r="CP428" s="9"/>
      <c r="CQ428" s="9"/>
      <c r="CR428" s="9"/>
      <c r="CS428" s="9"/>
      <c r="CT428" s="9"/>
      <c r="CU428" s="9"/>
      <c r="CV428" s="9"/>
      <c r="CW428" s="9"/>
      <c r="CX428" s="9"/>
      <c r="CY428" s="9"/>
      <c r="CZ428" s="9"/>
    </row>
    <row r="429" spans="1:104">
      <c r="A429" s="514"/>
      <c r="B429" s="514"/>
      <c r="C429" s="1662"/>
      <c r="D429" s="1661"/>
      <c r="E429" s="1672"/>
      <c r="F429" s="1214" t="s">
        <v>205</v>
      </c>
      <c r="G429" s="1213">
        <v>0.55000000000000004</v>
      </c>
      <c r="H429" s="1213">
        <v>0.75</v>
      </c>
      <c r="I429" s="1213">
        <v>0.75</v>
      </c>
      <c r="J429" s="1213">
        <v>1</v>
      </c>
      <c r="K429" s="1213">
        <v>0.15</v>
      </c>
      <c r="L429" s="1213">
        <f>'[2]3.Hd'!$E$403</f>
        <v>1.6960999999999999</v>
      </c>
      <c r="M429" s="1213">
        <f t="shared" si="63"/>
        <v>1.08126375</v>
      </c>
      <c r="N429" s="14"/>
      <c r="O429" s="14"/>
      <c r="P429" s="14"/>
      <c r="Q429" s="1681"/>
      <c r="R429" s="1683"/>
      <c r="S429" s="1659"/>
      <c r="T429" s="1199" t="s">
        <v>206</v>
      </c>
      <c r="U429" s="1198">
        <v>0.63</v>
      </c>
      <c r="V429" s="1198">
        <v>0.75</v>
      </c>
      <c r="W429" s="1198">
        <v>0.75</v>
      </c>
      <c r="X429" s="1198">
        <v>1</v>
      </c>
      <c r="Y429" s="1198">
        <v>0.15</v>
      </c>
      <c r="Z429" s="1198">
        <f>'[2]3.Hd'!$E$403</f>
        <v>1.6960999999999999</v>
      </c>
      <c r="AA429" s="512">
        <f t="shared" si="62"/>
        <v>1.08126375</v>
      </c>
      <c r="AB429" s="145"/>
      <c r="AC429" s="145"/>
      <c r="AD429" s="145"/>
      <c r="AE429" s="145"/>
      <c r="AF429" s="14"/>
      <c r="AG429" s="41"/>
      <c r="BN429" s="1485"/>
      <c r="BO429" s="1373"/>
      <c r="BP429" s="1191" t="s">
        <v>20</v>
      </c>
      <c r="BQ429" s="1186"/>
      <c r="BS429" s="1189"/>
      <c r="BT429" s="560"/>
      <c r="CD429" s="9"/>
      <c r="CE429" s="9"/>
      <c r="CF429" s="9"/>
      <c r="CG429" s="9"/>
      <c r="CH429" s="9"/>
      <c r="CI429" s="9"/>
      <c r="CJ429" s="9"/>
      <c r="CK429" s="9"/>
      <c r="CL429" s="9"/>
      <c r="CM429" s="9"/>
      <c r="CN429" s="9"/>
      <c r="CO429" s="9"/>
      <c r="CP429" s="9"/>
      <c r="CQ429" s="9"/>
      <c r="CR429" s="9"/>
      <c r="CS429" s="9"/>
      <c r="CT429" s="9"/>
      <c r="CU429" s="9"/>
      <c r="CV429" s="9"/>
      <c r="CW429" s="9"/>
      <c r="CX429" s="9"/>
      <c r="CY429" s="9"/>
      <c r="CZ429" s="9"/>
    </row>
    <row r="430" spans="1:104">
      <c r="B430" s="14"/>
      <c r="C430" s="1662"/>
      <c r="D430" s="1661"/>
      <c r="E430" s="1672"/>
      <c r="F430" s="1214" t="s">
        <v>206</v>
      </c>
      <c r="G430" s="1213">
        <v>0.63</v>
      </c>
      <c r="H430" s="1213">
        <v>0.75</v>
      </c>
      <c r="I430" s="1213">
        <v>0.75</v>
      </c>
      <c r="J430" s="1213">
        <v>1</v>
      </c>
      <c r="K430" s="1213">
        <v>0.15</v>
      </c>
      <c r="L430" s="1213">
        <f>'[2]3.Hd'!$E$403</f>
        <v>1.6960999999999999</v>
      </c>
      <c r="M430" s="1213">
        <f t="shared" si="63"/>
        <v>1.08126375</v>
      </c>
      <c r="N430" s="14"/>
      <c r="O430" s="14"/>
      <c r="P430" s="14"/>
      <c r="Q430" s="1681"/>
      <c r="R430" s="1683"/>
      <c r="S430" s="1659"/>
      <c r="T430" s="1199" t="s">
        <v>207</v>
      </c>
      <c r="U430" s="1198">
        <v>0.62</v>
      </c>
      <c r="V430" s="1198">
        <v>0.75</v>
      </c>
      <c r="W430" s="1198">
        <v>0.75</v>
      </c>
      <c r="X430" s="1198">
        <v>1</v>
      </c>
      <c r="Y430" s="1198">
        <v>0.15</v>
      </c>
      <c r="Z430" s="1198">
        <f>'[2]3.Hd'!$E$403</f>
        <v>1.6960999999999999</v>
      </c>
      <c r="AA430" s="512">
        <f t="shared" si="62"/>
        <v>1.08126375</v>
      </c>
      <c r="AB430" s="145"/>
      <c r="AC430" s="145"/>
      <c r="AD430" s="145"/>
      <c r="AE430" s="145"/>
      <c r="AF430" s="14"/>
      <c r="AG430" s="41"/>
      <c r="BN430" s="1485"/>
      <c r="BO430" s="1373"/>
      <c r="BP430" s="1194"/>
      <c r="BQ430" s="1188"/>
      <c r="BS430" s="1189"/>
      <c r="BT430" s="560"/>
      <c r="CD430" s="9"/>
      <c r="CE430" s="9"/>
      <c r="CF430" s="9"/>
      <c r="CG430" s="9"/>
      <c r="CH430" s="9"/>
      <c r="CI430" s="9"/>
      <c r="CJ430" s="9"/>
      <c r="CK430" s="9"/>
      <c r="CL430" s="9"/>
      <c r="CM430" s="9"/>
      <c r="CN430" s="9"/>
      <c r="CO430" s="9"/>
      <c r="CP430" s="9"/>
      <c r="CQ430" s="9"/>
      <c r="CR430" s="9"/>
      <c r="CS430" s="9"/>
      <c r="CT430" s="9"/>
      <c r="CU430" s="9"/>
      <c r="CV430" s="9"/>
      <c r="CW430" s="9"/>
      <c r="CX430" s="9"/>
      <c r="CY430" s="9"/>
      <c r="CZ430" s="9"/>
    </row>
    <row r="431" spans="1:104">
      <c r="B431" s="14"/>
      <c r="C431" s="1662"/>
      <c r="D431" s="1661"/>
      <c r="E431" s="1672"/>
      <c r="F431" s="1214" t="s">
        <v>207</v>
      </c>
      <c r="G431" s="1213">
        <v>0.62</v>
      </c>
      <c r="H431" s="1213">
        <v>0.75</v>
      </c>
      <c r="I431" s="1213">
        <v>0.75</v>
      </c>
      <c r="J431" s="1213">
        <v>1</v>
      </c>
      <c r="K431" s="1213">
        <v>0.15</v>
      </c>
      <c r="L431" s="1213">
        <f>'[2]3.Hd'!$E$403</f>
        <v>1.6960999999999999</v>
      </c>
      <c r="M431" s="1213">
        <f t="shared" si="63"/>
        <v>1.08126375</v>
      </c>
      <c r="N431" s="14"/>
      <c r="O431" s="14"/>
      <c r="P431" s="14"/>
      <c r="Q431" s="1681"/>
      <c r="R431" s="1683"/>
      <c r="S431" s="1659"/>
      <c r="T431" s="1199" t="s">
        <v>208</v>
      </c>
      <c r="U431" s="1198">
        <v>0.64</v>
      </c>
      <c r="V431" s="1198">
        <v>0.75</v>
      </c>
      <c r="W431" s="1198">
        <v>0.75</v>
      </c>
      <c r="X431" s="1198">
        <v>1</v>
      </c>
      <c r="Y431" s="1198">
        <v>0.15</v>
      </c>
      <c r="Z431" s="1198">
        <f>'[2]3.Hd'!$E$403</f>
        <v>1.6960999999999999</v>
      </c>
      <c r="AA431" s="512">
        <f t="shared" si="62"/>
        <v>1.08126375</v>
      </c>
      <c r="AB431" s="145"/>
      <c r="AC431" s="145"/>
      <c r="AD431" s="145"/>
      <c r="AE431" s="145"/>
      <c r="AF431" s="14"/>
      <c r="AG431" s="41"/>
      <c r="BN431" s="1485"/>
      <c r="BO431" s="1373"/>
      <c r="BP431" s="1194"/>
      <c r="BQ431" s="1188"/>
      <c r="BS431" s="1189"/>
      <c r="BT431" s="560"/>
      <c r="CD431" s="9"/>
      <c r="CE431" s="9"/>
      <c r="CF431" s="9"/>
      <c r="CG431" s="9"/>
      <c r="CH431" s="9"/>
      <c r="CI431" s="9"/>
      <c r="CJ431" s="9"/>
      <c r="CK431" s="9"/>
      <c r="CL431" s="9"/>
      <c r="CM431" s="9"/>
      <c r="CN431" s="9"/>
      <c r="CO431" s="9"/>
      <c r="CP431" s="9"/>
      <c r="CQ431" s="9"/>
      <c r="CR431" s="9"/>
      <c r="CS431" s="9"/>
      <c r="CT431" s="9"/>
      <c r="CU431" s="9"/>
      <c r="CV431" s="9"/>
      <c r="CW431" s="9"/>
      <c r="CX431" s="9"/>
      <c r="CY431" s="9"/>
      <c r="CZ431" s="9"/>
    </row>
    <row r="432" spans="1:104">
      <c r="B432" s="14"/>
      <c r="C432" s="1662"/>
      <c r="D432" s="1661"/>
      <c r="E432" s="1672"/>
      <c r="F432" s="1214" t="s">
        <v>208</v>
      </c>
      <c r="G432" s="1213">
        <v>0.64</v>
      </c>
      <c r="H432" s="1213">
        <v>0.75</v>
      </c>
      <c r="I432" s="1213">
        <v>0.75</v>
      </c>
      <c r="J432" s="1213">
        <v>1</v>
      </c>
      <c r="K432" s="1213">
        <v>0.15</v>
      </c>
      <c r="L432" s="1213">
        <f>'[2]3.Hd'!$E$403</f>
        <v>1.6960999999999999</v>
      </c>
      <c r="M432" s="1213">
        <f t="shared" si="63"/>
        <v>1.08126375</v>
      </c>
      <c r="N432" s="14"/>
      <c r="O432" s="14"/>
      <c r="P432" s="14"/>
      <c r="Q432" s="1681"/>
      <c r="R432" s="1683"/>
      <c r="S432" s="1659"/>
      <c r="T432" s="1199" t="s">
        <v>209</v>
      </c>
      <c r="U432" s="1198">
        <v>0.68</v>
      </c>
      <c r="V432" s="1198">
        <v>0.75</v>
      </c>
      <c r="W432" s="1198">
        <v>0.75</v>
      </c>
      <c r="X432" s="1198">
        <v>1</v>
      </c>
      <c r="Y432" s="1198">
        <v>0.15</v>
      </c>
      <c r="Z432" s="1198">
        <f>'[2]3.Hd'!$E$403</f>
        <v>1.6960999999999999</v>
      </c>
      <c r="AA432" s="512">
        <f t="shared" si="62"/>
        <v>1.08126375</v>
      </c>
      <c r="AB432" s="145"/>
      <c r="AC432" s="145"/>
      <c r="AD432" s="145"/>
      <c r="AE432" s="145"/>
      <c r="AF432" s="14"/>
      <c r="AG432" s="41"/>
      <c r="BN432" s="1485"/>
      <c r="BO432" s="1373"/>
      <c r="BP432" s="1194"/>
      <c r="BQ432" s="849" t="s">
        <v>631</v>
      </c>
      <c r="BS432" s="1189"/>
      <c r="BT432" s="560"/>
      <c r="CD432" s="9"/>
      <c r="CE432" s="9"/>
      <c r="CF432" s="9"/>
      <c r="CG432" s="9"/>
      <c r="CH432" s="9"/>
      <c r="CI432" s="9"/>
      <c r="CJ432" s="9"/>
      <c r="CK432" s="9"/>
      <c r="CL432" s="9"/>
      <c r="CM432" s="9"/>
      <c r="CN432" s="9"/>
      <c r="CO432" s="9"/>
      <c r="CP432" s="9"/>
      <c r="CQ432" s="9"/>
      <c r="CR432" s="9"/>
      <c r="CS432" s="9"/>
      <c r="CT432" s="9"/>
      <c r="CU432" s="9"/>
      <c r="CV432" s="9"/>
      <c r="CW432" s="9"/>
      <c r="CX432" s="9"/>
      <c r="CY432" s="9"/>
      <c r="CZ432" s="9"/>
    </row>
    <row r="433" spans="2:104">
      <c r="B433" s="14"/>
      <c r="C433" s="1662"/>
      <c r="D433" s="1661"/>
      <c r="E433" s="1672"/>
      <c r="F433" s="1214" t="s">
        <v>209</v>
      </c>
      <c r="G433" s="1213">
        <v>0.68</v>
      </c>
      <c r="H433" s="1213">
        <v>0.75</v>
      </c>
      <c r="I433" s="1213">
        <v>0.75</v>
      </c>
      <c r="J433" s="1213">
        <v>1</v>
      </c>
      <c r="K433" s="1213">
        <v>0.15</v>
      </c>
      <c r="L433" s="1213">
        <f>'[2]3.Hd'!$E$403</f>
        <v>1.6960999999999999</v>
      </c>
      <c r="M433" s="1213">
        <f t="shared" si="63"/>
        <v>1.08126375</v>
      </c>
      <c r="N433" s="14"/>
      <c r="O433" s="14"/>
      <c r="P433" s="14"/>
      <c r="Q433" s="1681"/>
      <c r="R433" s="1683"/>
      <c r="S433" s="1659"/>
      <c r="T433" s="1199" t="s">
        <v>210</v>
      </c>
      <c r="U433" s="1198">
        <v>0.73</v>
      </c>
      <c r="V433" s="1198">
        <v>0.75</v>
      </c>
      <c r="W433" s="1198">
        <v>0.75</v>
      </c>
      <c r="X433" s="1198">
        <v>1</v>
      </c>
      <c r="Y433" s="1198">
        <v>0.15</v>
      </c>
      <c r="Z433" s="1198">
        <f>'[2]3.Hd'!$E$403</f>
        <v>1.6960999999999999</v>
      </c>
      <c r="AA433" s="512">
        <f t="shared" si="62"/>
        <v>1.08126375</v>
      </c>
      <c r="AB433" s="145"/>
      <c r="AC433" s="145"/>
      <c r="AD433" s="145"/>
      <c r="AE433" s="145"/>
      <c r="AF433" s="14"/>
      <c r="AG433" s="41"/>
      <c r="BN433" s="1485"/>
      <c r="BO433" s="1373"/>
      <c r="BP433" s="1194"/>
      <c r="BQ433" s="851" t="s">
        <v>859</v>
      </c>
      <c r="BS433" s="1189"/>
      <c r="BT433" s="560"/>
      <c r="CD433" s="9"/>
      <c r="CE433" s="9"/>
      <c r="CF433" s="9"/>
      <c r="CG433" s="9"/>
      <c r="CH433" s="9"/>
      <c r="CI433" s="9"/>
      <c r="CJ433" s="9"/>
      <c r="CK433" s="9"/>
      <c r="CL433" s="9"/>
      <c r="CM433" s="9"/>
      <c r="CN433" s="9"/>
      <c r="CO433" s="9"/>
      <c r="CP433" s="9"/>
      <c r="CQ433" s="9"/>
      <c r="CR433" s="9"/>
      <c r="CS433" s="9"/>
      <c r="CT433" s="9"/>
      <c r="CU433" s="9"/>
      <c r="CV433" s="9"/>
      <c r="CW433" s="9"/>
      <c r="CX433" s="9"/>
      <c r="CY433" s="9"/>
      <c r="CZ433" s="9"/>
    </row>
    <row r="434" spans="2:104">
      <c r="B434" s="14"/>
      <c r="C434" s="1662"/>
      <c r="D434" s="1661"/>
      <c r="E434" s="1672"/>
      <c r="F434" s="1214" t="s">
        <v>210</v>
      </c>
      <c r="G434" s="1213">
        <v>0.73</v>
      </c>
      <c r="H434" s="1213">
        <v>0.75</v>
      </c>
      <c r="I434" s="1213">
        <v>0.75</v>
      </c>
      <c r="J434" s="1213">
        <v>1</v>
      </c>
      <c r="K434" s="1213">
        <v>0.15</v>
      </c>
      <c r="L434" s="1213">
        <f>'[2]3.Hd'!$E$403</f>
        <v>1.6960999999999999</v>
      </c>
      <c r="M434" s="1213">
        <f t="shared" si="63"/>
        <v>1.08126375</v>
      </c>
      <c r="N434" s="14"/>
      <c r="O434" s="14"/>
      <c r="P434" s="14"/>
      <c r="Q434" s="1681"/>
      <c r="R434" s="1683"/>
      <c r="S434" s="1659"/>
      <c r="T434" s="1199" t="s">
        <v>211</v>
      </c>
      <c r="U434" s="1198">
        <v>0.72</v>
      </c>
      <c r="V434" s="1198">
        <v>0.75</v>
      </c>
      <c r="W434" s="1198">
        <v>0.75</v>
      </c>
      <c r="X434" s="1198">
        <v>1</v>
      </c>
      <c r="Y434" s="1198">
        <v>0.15</v>
      </c>
      <c r="Z434" s="1198">
        <f>'[2]3.Hd'!$E$403</f>
        <v>1.6960999999999999</v>
      </c>
      <c r="AA434" s="512">
        <f t="shared" si="62"/>
        <v>1.08126375</v>
      </c>
      <c r="AB434" s="145"/>
      <c r="AC434" s="145"/>
      <c r="AD434" s="145"/>
      <c r="AE434" s="145"/>
      <c r="AF434" s="14"/>
      <c r="AG434" s="41"/>
      <c r="BN434" s="1485"/>
      <c r="BO434" s="1373"/>
      <c r="BP434" s="865"/>
      <c r="BQ434" s="940" t="s">
        <v>858</v>
      </c>
      <c r="BS434" s="1189"/>
      <c r="BT434" s="1202"/>
      <c r="CD434" s="9"/>
      <c r="CE434" s="9"/>
      <c r="CF434" s="9"/>
      <c r="CG434" s="9"/>
      <c r="CH434" s="9"/>
      <c r="CI434" s="9"/>
      <c r="CJ434" s="9"/>
      <c r="CK434" s="9"/>
      <c r="CL434" s="9"/>
      <c r="CM434" s="9"/>
      <c r="CN434" s="9"/>
      <c r="CO434" s="9"/>
      <c r="CP434" s="9"/>
      <c r="CQ434" s="9"/>
      <c r="CR434" s="9"/>
      <c r="CS434" s="9"/>
      <c r="CT434" s="9"/>
      <c r="CU434" s="9"/>
      <c r="CV434" s="9"/>
      <c r="CW434" s="9"/>
      <c r="CX434" s="9"/>
      <c r="CY434" s="9"/>
      <c r="CZ434" s="9"/>
    </row>
    <row r="435" spans="2:104">
      <c r="B435" s="14"/>
      <c r="C435" s="1662"/>
      <c r="D435" s="1661"/>
      <c r="E435" s="1672"/>
      <c r="F435" s="1214" t="s">
        <v>211</v>
      </c>
      <c r="G435" s="1213">
        <v>0.72</v>
      </c>
      <c r="H435" s="1213">
        <v>0.75</v>
      </c>
      <c r="I435" s="1213">
        <v>0.75</v>
      </c>
      <c r="J435" s="1213">
        <v>1</v>
      </c>
      <c r="K435" s="1213">
        <v>0.15</v>
      </c>
      <c r="L435" s="1213">
        <f>'[2]3.Hd'!$E$403</f>
        <v>1.6960999999999999</v>
      </c>
      <c r="M435" s="1213">
        <f t="shared" si="63"/>
        <v>1.08126375</v>
      </c>
      <c r="N435" s="14"/>
      <c r="O435" s="14"/>
      <c r="P435" s="14"/>
      <c r="Q435" s="1681"/>
      <c r="R435" s="1683"/>
      <c r="S435" s="1659"/>
      <c r="T435" s="1199" t="s">
        <v>212</v>
      </c>
      <c r="U435" s="1198">
        <v>0.67</v>
      </c>
      <c r="V435" s="1198">
        <v>0.75</v>
      </c>
      <c r="W435" s="1198">
        <v>0.75</v>
      </c>
      <c r="X435" s="1198">
        <v>1</v>
      </c>
      <c r="Y435" s="1198">
        <v>0.15</v>
      </c>
      <c r="Z435" s="1198">
        <f>'[2]3.Hd'!$E$403</f>
        <v>1.6960999999999999</v>
      </c>
      <c r="AA435" s="512">
        <f t="shared" si="62"/>
        <v>1.08126375</v>
      </c>
      <c r="AB435" s="145"/>
      <c r="AC435" s="145"/>
      <c r="AD435" s="145"/>
      <c r="AE435" s="145"/>
      <c r="AF435" s="14"/>
      <c r="AG435" s="41"/>
      <c r="BN435" s="1485"/>
      <c r="BO435" s="1373"/>
      <c r="BP435" s="1192" t="s">
        <v>586</v>
      </c>
      <c r="BQ435" s="1188"/>
      <c r="BS435" s="1189"/>
      <c r="BT435" s="560"/>
      <c r="CD435" s="9"/>
      <c r="CE435" s="9"/>
      <c r="CF435" s="9"/>
      <c r="CG435" s="9"/>
      <c r="CH435" s="9"/>
      <c r="CI435" s="9"/>
      <c r="CJ435" s="9"/>
      <c r="CK435" s="9"/>
      <c r="CL435" s="9"/>
      <c r="CM435" s="9"/>
      <c r="CN435" s="9"/>
      <c r="CO435" s="9"/>
      <c r="CP435" s="9"/>
      <c r="CQ435" s="9"/>
      <c r="CR435" s="9"/>
      <c r="CS435" s="9"/>
      <c r="CT435" s="9"/>
      <c r="CU435" s="9"/>
      <c r="CV435" s="9"/>
      <c r="CW435" s="9"/>
      <c r="CX435" s="9"/>
      <c r="CY435" s="9"/>
      <c r="CZ435" s="9"/>
    </row>
    <row r="436" spans="2:104" ht="15" customHeight="1">
      <c r="B436" s="14"/>
      <c r="C436" s="1662"/>
      <c r="D436" s="1661"/>
      <c r="E436" s="1672"/>
      <c r="F436" s="1214" t="s">
        <v>212</v>
      </c>
      <c r="G436" s="1213">
        <v>0.67</v>
      </c>
      <c r="H436" s="1213">
        <v>0.75</v>
      </c>
      <c r="I436" s="1213">
        <v>0.75</v>
      </c>
      <c r="J436" s="1213">
        <v>1</v>
      </c>
      <c r="K436" s="1213">
        <v>0.15</v>
      </c>
      <c r="L436" s="1213">
        <f>'[2]3.Hd'!$E$403</f>
        <v>1.6960999999999999</v>
      </c>
      <c r="M436" s="1213">
        <f t="shared" si="63"/>
        <v>1.08126375</v>
      </c>
      <c r="N436" s="14"/>
      <c r="O436" s="14"/>
      <c r="P436" s="14"/>
      <c r="Q436" s="1681"/>
      <c r="R436" s="1683"/>
      <c r="S436" s="1659"/>
      <c r="T436" s="1199" t="s">
        <v>213</v>
      </c>
      <c r="U436" s="1198">
        <v>0.6</v>
      </c>
      <c r="V436" s="1198">
        <v>0.75</v>
      </c>
      <c r="W436" s="1198">
        <v>0.75</v>
      </c>
      <c r="X436" s="1198">
        <v>1</v>
      </c>
      <c r="Y436" s="1198">
        <v>0.15</v>
      </c>
      <c r="Z436" s="1198">
        <f>'[2]3.Hd'!$E$403</f>
        <v>1.6960999999999999</v>
      </c>
      <c r="AA436" s="512">
        <f t="shared" si="62"/>
        <v>1.08126375</v>
      </c>
      <c r="AB436" s="145"/>
      <c r="AC436" s="145"/>
      <c r="AD436" s="145"/>
      <c r="AE436" s="145"/>
      <c r="AF436" s="14"/>
      <c r="AG436" s="41"/>
      <c r="BN436" s="1485"/>
      <c r="BO436" s="1373"/>
      <c r="BP436" s="1194"/>
      <c r="BQ436" s="1188"/>
      <c r="BT436" s="560"/>
      <c r="CD436" s="9"/>
      <c r="CE436" s="9"/>
      <c r="CF436" s="9"/>
      <c r="CG436" s="9"/>
      <c r="CH436" s="9"/>
      <c r="CI436" s="9"/>
      <c r="CJ436" s="9"/>
      <c r="CK436" s="9"/>
      <c r="CL436" s="9"/>
      <c r="CM436" s="9"/>
      <c r="CN436" s="9"/>
      <c r="CO436" s="9"/>
      <c r="CP436" s="9"/>
      <c r="CQ436" s="9"/>
      <c r="CR436" s="9"/>
      <c r="CS436" s="9"/>
      <c r="CT436" s="9"/>
      <c r="CU436" s="9"/>
      <c r="CV436" s="9"/>
      <c r="CW436" s="9"/>
      <c r="CX436" s="9"/>
      <c r="CY436" s="9"/>
      <c r="CZ436" s="9"/>
    </row>
    <row r="437" spans="2:104" ht="15" customHeight="1">
      <c r="B437" s="14"/>
      <c r="C437" s="1662"/>
      <c r="D437" s="1661"/>
      <c r="E437" s="1672"/>
      <c r="F437" s="1214" t="s">
        <v>213</v>
      </c>
      <c r="G437" s="1213">
        <v>0.6</v>
      </c>
      <c r="H437" s="1213">
        <v>0.75</v>
      </c>
      <c r="I437" s="1213">
        <v>0.75</v>
      </c>
      <c r="J437" s="1213">
        <v>1</v>
      </c>
      <c r="K437" s="1213">
        <v>0.15</v>
      </c>
      <c r="L437" s="1213">
        <f>'[2]3.Hd'!$E$403</f>
        <v>1.6960999999999999</v>
      </c>
      <c r="M437" s="1213">
        <f t="shared" si="63"/>
        <v>1.08126375</v>
      </c>
      <c r="N437" s="14"/>
      <c r="O437" s="14"/>
      <c r="P437" s="14"/>
      <c r="Q437" s="1681"/>
      <c r="R437" s="1683"/>
      <c r="S437" s="1659"/>
      <c r="T437" s="1199" t="s">
        <v>214</v>
      </c>
      <c r="U437" s="1198">
        <v>0.3</v>
      </c>
      <c r="V437" s="1198">
        <v>0.75</v>
      </c>
      <c r="W437" s="1198">
        <v>0.75</v>
      </c>
      <c r="X437" s="1198">
        <v>0.99999999999999989</v>
      </c>
      <c r="Y437" s="1198">
        <v>0.15</v>
      </c>
      <c r="Z437" s="1198">
        <f>'[2]3.Hd'!$E$403</f>
        <v>1.6960999999999999</v>
      </c>
      <c r="AA437" s="512">
        <f t="shared" si="62"/>
        <v>1.0812637499999997</v>
      </c>
      <c r="AB437" s="380"/>
      <c r="AC437" s="380"/>
      <c r="AD437" s="380"/>
      <c r="AE437" s="380"/>
      <c r="AF437" s="380"/>
      <c r="AG437" s="41"/>
      <c r="BN437" s="1485"/>
      <c r="BO437" s="1373"/>
      <c r="BP437" s="865"/>
      <c r="BQ437" s="854" t="s">
        <v>859</v>
      </c>
      <c r="BS437" s="1189"/>
      <c r="BT437" s="560"/>
      <c r="CD437" s="9"/>
      <c r="CE437" s="9"/>
      <c r="CF437" s="9"/>
      <c r="CG437" s="9"/>
      <c r="CH437" s="9"/>
      <c r="CI437" s="9"/>
      <c r="CJ437" s="9"/>
      <c r="CK437" s="9"/>
      <c r="CL437" s="9"/>
      <c r="CM437" s="9"/>
      <c r="CN437" s="9"/>
      <c r="CO437" s="9"/>
      <c r="CP437" s="9"/>
      <c r="CQ437" s="9"/>
      <c r="CR437" s="9"/>
      <c r="CS437" s="9"/>
      <c r="CT437" s="9"/>
      <c r="CU437" s="9"/>
      <c r="CV437" s="9"/>
      <c r="CW437" s="9"/>
      <c r="CX437" s="9"/>
      <c r="CY437" s="9"/>
      <c r="CZ437" s="9"/>
    </row>
    <row r="438" spans="2:104" ht="15.75" customHeight="1">
      <c r="B438" s="14"/>
      <c r="C438" s="1662"/>
      <c r="D438" s="1661"/>
      <c r="E438" s="1672"/>
      <c r="F438" s="1214" t="s">
        <v>214</v>
      </c>
      <c r="G438" s="1213">
        <v>0.3</v>
      </c>
      <c r="H438" s="1213">
        <v>0.75</v>
      </c>
      <c r="I438" s="1213">
        <v>0.75</v>
      </c>
      <c r="J438" s="1213">
        <v>0.99999999999999989</v>
      </c>
      <c r="K438" s="1213">
        <v>0.15</v>
      </c>
      <c r="L438" s="1213">
        <f>'[2]3.Hd'!$E$403</f>
        <v>1.6960999999999999</v>
      </c>
      <c r="M438" s="1213">
        <f t="shared" si="63"/>
        <v>1.0812637499999997</v>
      </c>
      <c r="N438" s="14"/>
      <c r="O438" s="14"/>
      <c r="P438" s="14"/>
      <c r="Q438" s="1681"/>
      <c r="R438" s="1683"/>
      <c r="S438" s="1660"/>
      <c r="T438" s="1199" t="s">
        <v>215</v>
      </c>
      <c r="U438" s="1198">
        <v>0.42</v>
      </c>
      <c r="V438" s="1198">
        <v>0.75</v>
      </c>
      <c r="W438" s="1198">
        <v>0.75</v>
      </c>
      <c r="X438" s="1198">
        <v>1</v>
      </c>
      <c r="Y438" s="1198">
        <v>0.15</v>
      </c>
      <c r="Z438" s="1198">
        <f>'[2]3.Hd'!$E$403</f>
        <v>1.6960999999999999</v>
      </c>
      <c r="AA438" s="512">
        <f t="shared" si="62"/>
        <v>1.08126375</v>
      </c>
      <c r="AB438" s="145"/>
      <c r="AC438" s="145"/>
      <c r="AD438" s="34"/>
      <c r="AE438" s="34"/>
      <c r="AF438" s="34"/>
      <c r="AG438" s="41"/>
      <c r="BN438" s="1485"/>
      <c r="BO438" s="1373"/>
      <c r="BP438" s="1191" t="s">
        <v>19</v>
      </c>
      <c r="BQ438" s="1186"/>
      <c r="BS438" s="1189"/>
      <c r="BT438" s="560"/>
      <c r="CD438" s="9"/>
      <c r="CE438" s="9"/>
      <c r="CF438" s="9"/>
      <c r="CG438" s="9"/>
      <c r="CH438" s="9"/>
      <c r="CI438" s="9"/>
      <c r="CJ438" s="9"/>
      <c r="CK438" s="9"/>
      <c r="CL438" s="9"/>
      <c r="CM438" s="9"/>
      <c r="CN438" s="9"/>
      <c r="CO438" s="9"/>
      <c r="CP438" s="9"/>
      <c r="CQ438" s="9"/>
      <c r="CR438" s="9"/>
      <c r="CS438" s="9"/>
      <c r="CT438" s="9"/>
      <c r="CU438" s="9"/>
      <c r="CV438" s="9"/>
      <c r="CW438" s="9"/>
      <c r="CX438" s="9"/>
      <c r="CY438" s="9"/>
      <c r="CZ438" s="9"/>
    </row>
    <row r="439" spans="2:104" ht="16">
      <c r="B439" s="14"/>
      <c r="C439" s="1662"/>
      <c r="D439" s="1661"/>
      <c r="E439" s="1672"/>
      <c r="F439" s="1214" t="s">
        <v>215</v>
      </c>
      <c r="G439" s="1213">
        <v>0.42</v>
      </c>
      <c r="H439" s="1213">
        <v>0.75</v>
      </c>
      <c r="I439" s="1213">
        <v>0.75</v>
      </c>
      <c r="J439" s="1213">
        <v>1</v>
      </c>
      <c r="K439" s="1213">
        <v>0.15</v>
      </c>
      <c r="L439" s="1213">
        <f>'[2]3.Hd'!$E$403</f>
        <v>1.6960999999999999</v>
      </c>
      <c r="M439" s="1213">
        <f t="shared" si="63"/>
        <v>1.08126375</v>
      </c>
      <c r="N439" s="14"/>
      <c r="O439" s="14"/>
      <c r="P439" s="14"/>
      <c r="Q439" s="1681"/>
      <c r="R439" s="1683"/>
      <c r="S439" s="1655" t="s">
        <v>920</v>
      </c>
      <c r="T439" s="1653" t="s">
        <v>24</v>
      </c>
      <c r="U439" s="89" t="s">
        <v>319</v>
      </c>
      <c r="V439" s="89" t="s">
        <v>320</v>
      </c>
      <c r="W439" s="89" t="s">
        <v>321</v>
      </c>
      <c r="X439" s="89" t="s">
        <v>322</v>
      </c>
      <c r="Y439" s="89" t="s">
        <v>323</v>
      </c>
      <c r="Z439" s="89" t="s">
        <v>324</v>
      </c>
      <c r="AA439" s="89" t="s">
        <v>311</v>
      </c>
      <c r="AB439" s="145"/>
      <c r="AC439" s="145"/>
      <c r="AD439" s="145"/>
      <c r="AE439" s="145"/>
      <c r="AF439" s="14"/>
      <c r="AG439" s="41"/>
      <c r="BN439" s="1485"/>
      <c r="BO439" s="1373"/>
      <c r="BP439" s="1194"/>
      <c r="BQ439" s="1188"/>
      <c r="BS439" s="1189"/>
      <c r="BT439" s="560"/>
      <c r="CD439" s="9"/>
      <c r="CE439" s="9"/>
      <c r="CF439" s="9"/>
      <c r="CG439" s="9"/>
      <c r="CH439" s="9"/>
      <c r="CI439" s="9"/>
      <c r="CJ439" s="9"/>
      <c r="CK439" s="9"/>
      <c r="CL439" s="9"/>
      <c r="CM439" s="9"/>
      <c r="CN439" s="9"/>
      <c r="CO439" s="9"/>
      <c r="CP439" s="9"/>
      <c r="CQ439" s="9"/>
      <c r="CR439" s="9"/>
      <c r="CS439" s="9"/>
      <c r="CT439" s="9"/>
      <c r="CU439" s="9"/>
      <c r="CV439" s="9"/>
      <c r="CW439" s="9"/>
      <c r="CX439" s="9"/>
      <c r="CY439" s="9"/>
      <c r="CZ439" s="9"/>
    </row>
    <row r="440" spans="2:104" ht="16">
      <c r="B440" s="14"/>
      <c r="C440" s="1662"/>
      <c r="D440" s="1661"/>
      <c r="E440" s="1678" t="s">
        <v>910</v>
      </c>
      <c r="F440" s="1653" t="s">
        <v>24</v>
      </c>
      <c r="G440" s="89" t="s">
        <v>319</v>
      </c>
      <c r="H440" s="89" t="s">
        <v>320</v>
      </c>
      <c r="I440" s="89" t="s">
        <v>321</v>
      </c>
      <c r="J440" s="89" t="s">
        <v>322</v>
      </c>
      <c r="K440" s="89" t="s">
        <v>323</v>
      </c>
      <c r="L440" s="89" t="s">
        <v>324</v>
      </c>
      <c r="M440" s="89" t="s">
        <v>311</v>
      </c>
      <c r="N440" s="14"/>
      <c r="O440" s="14"/>
      <c r="P440" s="14"/>
      <c r="Q440" s="1681"/>
      <c r="R440" s="1683"/>
      <c r="S440" s="1656"/>
      <c r="T440" s="1654"/>
      <c r="U440" s="115" t="s">
        <v>24</v>
      </c>
      <c r="V440" s="115" t="s">
        <v>24</v>
      </c>
      <c r="W440" s="115" t="s">
        <v>24</v>
      </c>
      <c r="X440" s="115" t="s">
        <v>24</v>
      </c>
      <c r="Y440" s="115" t="s">
        <v>24</v>
      </c>
      <c r="Z440" s="92" t="s">
        <v>32</v>
      </c>
      <c r="AA440" s="92" t="s">
        <v>32</v>
      </c>
      <c r="AB440" s="145"/>
      <c r="AC440" s="145"/>
      <c r="AD440" s="145"/>
      <c r="AE440" s="145"/>
      <c r="AF440" s="14"/>
      <c r="AG440" s="41"/>
      <c r="BN440" s="1485"/>
      <c r="BO440" s="1373"/>
      <c r="BP440" s="1194"/>
      <c r="BQ440" s="1188"/>
      <c r="BS440" s="1189"/>
      <c r="BT440" s="560"/>
      <c r="CD440" s="9"/>
      <c r="CE440" s="9"/>
      <c r="CF440" s="9"/>
      <c r="CG440" s="9"/>
      <c r="CH440" s="9"/>
      <c r="CI440" s="9"/>
      <c r="CJ440" s="9"/>
      <c r="CK440" s="9"/>
      <c r="CL440" s="9"/>
      <c r="CM440" s="9"/>
      <c r="CN440" s="9"/>
      <c r="CO440" s="9"/>
      <c r="CP440" s="9"/>
      <c r="CQ440" s="9"/>
      <c r="CR440" s="9"/>
      <c r="CS440" s="9"/>
      <c r="CT440" s="9"/>
      <c r="CU440" s="9"/>
      <c r="CV440" s="9"/>
      <c r="CW440" s="9"/>
      <c r="CX440" s="9"/>
      <c r="CY440" s="9"/>
      <c r="CZ440" s="9"/>
    </row>
    <row r="441" spans="2:104">
      <c r="B441" s="14"/>
      <c r="C441" s="1662"/>
      <c r="D441" s="1661"/>
      <c r="E441" s="1678"/>
      <c r="F441" s="1654"/>
      <c r="G441" s="115" t="s">
        <v>24</v>
      </c>
      <c r="H441" s="115" t="s">
        <v>24</v>
      </c>
      <c r="I441" s="115" t="s">
        <v>24</v>
      </c>
      <c r="J441" s="115" t="s">
        <v>24</v>
      </c>
      <c r="K441" s="115" t="s">
        <v>24</v>
      </c>
      <c r="L441" s="92" t="s">
        <v>32</v>
      </c>
      <c r="M441" s="92" t="s">
        <v>32</v>
      </c>
      <c r="N441" s="14"/>
      <c r="O441" s="14"/>
      <c r="P441" s="14"/>
      <c r="Q441" s="1681"/>
      <c r="R441" s="1683"/>
      <c r="S441" s="1656"/>
      <c r="T441" s="1199" t="s">
        <v>204</v>
      </c>
      <c r="U441" s="1198">
        <v>0.39</v>
      </c>
      <c r="V441" s="1198">
        <v>0.75</v>
      </c>
      <c r="W441" s="1198">
        <v>0.75</v>
      </c>
      <c r="X441" s="1198">
        <v>1</v>
      </c>
      <c r="Y441" s="1198">
        <v>0.15</v>
      </c>
      <c r="Z441" s="1198">
        <f>'[2]3.Hd'!$E$403</f>
        <v>1.6960999999999999</v>
      </c>
      <c r="AA441" s="1198">
        <f t="shared" ref="AA441:AA452" si="64">X441*V441*(1-Y441)*Z441</f>
        <v>1.08126375</v>
      </c>
      <c r="AB441" s="145"/>
      <c r="AC441" s="145"/>
      <c r="AD441" s="145"/>
      <c r="AE441" s="145"/>
      <c r="AF441" s="14"/>
      <c r="AG441" s="41"/>
      <c r="BN441" s="1486"/>
      <c r="BO441" s="1374"/>
      <c r="BP441" s="871"/>
      <c r="BQ441" s="852" t="s">
        <v>631</v>
      </c>
      <c r="BS441" s="1189"/>
      <c r="BT441" s="560"/>
      <c r="CD441" s="9"/>
      <c r="CE441" s="9"/>
      <c r="CF441" s="9"/>
      <c r="CG441" s="9"/>
      <c r="CH441" s="9"/>
      <c r="CI441" s="9"/>
      <c r="CJ441" s="9"/>
      <c r="CK441" s="9"/>
      <c r="CL441" s="9"/>
      <c r="CM441" s="9"/>
      <c r="CN441" s="9"/>
      <c r="CO441" s="9"/>
      <c r="CP441" s="9"/>
      <c r="CQ441" s="9"/>
      <c r="CR441" s="9"/>
      <c r="CS441" s="9"/>
      <c r="CT441" s="9"/>
      <c r="CU441" s="9"/>
      <c r="CV441" s="9"/>
      <c r="CW441" s="9"/>
      <c r="CX441" s="9"/>
      <c r="CY441" s="9"/>
      <c r="CZ441" s="9"/>
    </row>
    <row r="442" spans="2:104">
      <c r="B442" s="14"/>
      <c r="C442" s="1662"/>
      <c r="D442" s="1661"/>
      <c r="E442" s="1678"/>
      <c r="F442" s="1214" t="s">
        <v>204</v>
      </c>
      <c r="G442" s="1213">
        <v>0.39</v>
      </c>
      <c r="H442" s="1213">
        <v>0.75</v>
      </c>
      <c r="I442" s="1213">
        <v>0.75</v>
      </c>
      <c r="J442" s="1213">
        <v>1</v>
      </c>
      <c r="K442" s="1213">
        <v>0.15</v>
      </c>
      <c r="L442" s="1213">
        <f>'[2]3.Hd'!$E$403</f>
        <v>1.6960999999999999</v>
      </c>
      <c r="M442" s="1213">
        <f t="shared" ref="M442:M453" si="65">J442*H442*(1-K442)*L442</f>
        <v>1.08126375</v>
      </c>
      <c r="N442" s="14"/>
      <c r="O442" s="14"/>
      <c r="P442" s="14"/>
      <c r="Q442" s="1681"/>
      <c r="R442" s="1683"/>
      <c r="S442" s="1656"/>
      <c r="T442" s="1199" t="s">
        <v>205</v>
      </c>
      <c r="U442" s="1198">
        <v>0.55000000000000004</v>
      </c>
      <c r="V442" s="1198">
        <v>0.75</v>
      </c>
      <c r="W442" s="1198">
        <v>0.75</v>
      </c>
      <c r="X442" s="1198">
        <v>1</v>
      </c>
      <c r="Y442" s="1198">
        <v>0.15</v>
      </c>
      <c r="Z442" s="1198">
        <f>'[2]3.Hd'!$E$403</f>
        <v>1.6960999999999999</v>
      </c>
      <c r="AA442" s="1198">
        <f t="shared" si="64"/>
        <v>1.08126375</v>
      </c>
      <c r="AB442" s="145"/>
      <c r="AC442" s="145"/>
      <c r="AD442" s="145"/>
      <c r="AE442" s="145"/>
      <c r="AF442" s="14"/>
      <c r="AG442" s="41"/>
      <c r="BS442" s="1189"/>
      <c r="BT442" s="560"/>
      <c r="CD442" s="9"/>
      <c r="CE442" s="9"/>
      <c r="CF442" s="9"/>
      <c r="CG442" s="9"/>
      <c r="CH442" s="9"/>
      <c r="CI442" s="9"/>
      <c r="CJ442" s="9"/>
      <c r="CK442" s="9"/>
      <c r="CL442" s="9"/>
      <c r="CM442" s="9"/>
      <c r="CN442" s="9"/>
      <c r="CO442" s="9"/>
      <c r="CP442" s="9"/>
      <c r="CQ442" s="9"/>
      <c r="CR442" s="9"/>
      <c r="CS442" s="9"/>
      <c r="CT442" s="9"/>
      <c r="CU442" s="9"/>
      <c r="CV442" s="9"/>
      <c r="CW442" s="9"/>
      <c r="CX442" s="9"/>
      <c r="CY442" s="9"/>
      <c r="CZ442" s="9"/>
    </row>
    <row r="443" spans="2:104">
      <c r="B443" s="14"/>
      <c r="C443" s="1662"/>
      <c r="D443" s="1661"/>
      <c r="E443" s="1678"/>
      <c r="F443" s="1214" t="s">
        <v>205</v>
      </c>
      <c r="G443" s="1213">
        <v>0.55000000000000004</v>
      </c>
      <c r="H443" s="1213">
        <v>0.75</v>
      </c>
      <c r="I443" s="1213">
        <v>0.75</v>
      </c>
      <c r="J443" s="1213">
        <v>1</v>
      </c>
      <c r="K443" s="1213">
        <v>0.15</v>
      </c>
      <c r="L443" s="1213">
        <f>'[2]3.Hd'!$E$403</f>
        <v>1.6960999999999999</v>
      </c>
      <c r="M443" s="1213">
        <f t="shared" si="65"/>
        <v>1.08126375</v>
      </c>
      <c r="N443" s="14"/>
      <c r="O443" s="14"/>
      <c r="P443" s="14"/>
      <c r="Q443" s="1681"/>
      <c r="R443" s="1683"/>
      <c r="S443" s="1656"/>
      <c r="T443" s="1199" t="s">
        <v>206</v>
      </c>
      <c r="U443" s="1198">
        <v>0.63</v>
      </c>
      <c r="V443" s="1198">
        <v>0.75</v>
      </c>
      <c r="W443" s="1198">
        <v>0.75</v>
      </c>
      <c r="X443" s="1198">
        <v>1</v>
      </c>
      <c r="Y443" s="1198">
        <v>0.15</v>
      </c>
      <c r="Z443" s="1198">
        <f>'[2]3.Hd'!$E$403</f>
        <v>1.6960999999999999</v>
      </c>
      <c r="AA443" s="1198">
        <f t="shared" si="64"/>
        <v>1.08126375</v>
      </c>
      <c r="AB443" s="145"/>
      <c r="AC443" s="145"/>
      <c r="AD443" s="145"/>
      <c r="AE443" s="145"/>
      <c r="AF443" s="14"/>
      <c r="AG443" s="41"/>
      <c r="BR443" s="9"/>
      <c r="BS443" s="1189"/>
      <c r="BT443" s="560"/>
      <c r="CD443" s="9"/>
      <c r="CE443" s="9"/>
      <c r="CF443" s="9"/>
      <c r="CG443" s="9"/>
      <c r="CH443" s="9"/>
      <c r="CI443" s="9"/>
      <c r="CJ443" s="9"/>
      <c r="CK443" s="9"/>
      <c r="CL443" s="9"/>
      <c r="CM443" s="9"/>
      <c r="CN443" s="9"/>
      <c r="CO443" s="9"/>
      <c r="CP443" s="9"/>
      <c r="CQ443" s="9"/>
      <c r="CR443" s="9"/>
      <c r="CS443" s="9"/>
      <c r="CT443" s="9"/>
      <c r="CU443" s="9"/>
      <c r="CV443" s="9"/>
      <c r="CW443" s="9"/>
      <c r="CX443" s="9"/>
      <c r="CY443" s="9"/>
      <c r="CZ443" s="9"/>
    </row>
    <row r="444" spans="2:104">
      <c r="B444" s="14"/>
      <c r="C444" s="1662"/>
      <c r="D444" s="1661"/>
      <c r="E444" s="1678"/>
      <c r="F444" s="1214" t="s">
        <v>206</v>
      </c>
      <c r="G444" s="1213">
        <v>0.63</v>
      </c>
      <c r="H444" s="1213">
        <v>0.75</v>
      </c>
      <c r="I444" s="1213">
        <v>0.75</v>
      </c>
      <c r="J444" s="1213">
        <v>1</v>
      </c>
      <c r="K444" s="1213">
        <v>0.15</v>
      </c>
      <c r="L444" s="1213">
        <f>'[2]3.Hd'!$E$403</f>
        <v>1.6960999999999999</v>
      </c>
      <c r="M444" s="1213">
        <f t="shared" si="65"/>
        <v>1.08126375</v>
      </c>
      <c r="N444" s="14"/>
      <c r="O444" s="14"/>
      <c r="P444" s="14"/>
      <c r="Q444" s="1681"/>
      <c r="R444" s="1683"/>
      <c r="S444" s="1656"/>
      <c r="T444" s="1199" t="s">
        <v>207</v>
      </c>
      <c r="U444" s="1198">
        <v>0.62</v>
      </c>
      <c r="V444" s="1198">
        <v>0.75</v>
      </c>
      <c r="W444" s="1198">
        <v>0.75</v>
      </c>
      <c r="X444" s="1198">
        <v>1</v>
      </c>
      <c r="Y444" s="1198">
        <v>0.15</v>
      </c>
      <c r="Z444" s="1198">
        <f>'[2]3.Hd'!$E$403</f>
        <v>1.6960999999999999</v>
      </c>
      <c r="AA444" s="1198">
        <f t="shared" si="64"/>
        <v>1.08126375</v>
      </c>
      <c r="AB444" s="145"/>
      <c r="AC444" s="145"/>
      <c r="AD444" s="145"/>
      <c r="AE444" s="145"/>
      <c r="AF444" s="14"/>
      <c r="AG444" s="41"/>
      <c r="BH444" s="1201"/>
      <c r="BI444" s="17"/>
      <c r="BJ444" s="560"/>
      <c r="BK444" s="560"/>
      <c r="BL444" s="560"/>
      <c r="BM444" s="560"/>
      <c r="BN444" s="560"/>
      <c r="BO444" s="560"/>
      <c r="BP444" s="560"/>
      <c r="BQ444" s="560"/>
      <c r="BR444" s="560"/>
      <c r="BS444" s="1189"/>
      <c r="BT444" s="560"/>
      <c r="CD444" s="9"/>
      <c r="CE444" s="9"/>
      <c r="CF444" s="9"/>
      <c r="CG444" s="9"/>
      <c r="CH444" s="9"/>
      <c r="CI444" s="9"/>
      <c r="CJ444" s="9"/>
      <c r="CK444" s="9"/>
      <c r="CL444" s="9"/>
      <c r="CM444" s="9"/>
      <c r="CN444" s="9"/>
      <c r="CO444" s="9"/>
      <c r="CP444" s="9"/>
      <c r="CQ444" s="9"/>
      <c r="CR444" s="9"/>
      <c r="CS444" s="9"/>
      <c r="CT444" s="9"/>
      <c r="CU444" s="9"/>
      <c r="CV444" s="9"/>
      <c r="CW444" s="9"/>
      <c r="CX444" s="9"/>
      <c r="CY444" s="9"/>
      <c r="CZ444" s="9"/>
    </row>
    <row r="445" spans="2:104">
      <c r="B445" s="14"/>
      <c r="C445" s="1662"/>
      <c r="D445" s="1661"/>
      <c r="E445" s="1678"/>
      <c r="F445" s="1214" t="s">
        <v>207</v>
      </c>
      <c r="G445" s="1213">
        <v>0.62</v>
      </c>
      <c r="H445" s="1213">
        <v>0.75</v>
      </c>
      <c r="I445" s="1213">
        <v>0.75</v>
      </c>
      <c r="J445" s="1213">
        <v>1</v>
      </c>
      <c r="K445" s="1213">
        <v>0.15</v>
      </c>
      <c r="L445" s="1213">
        <f>'[2]3.Hd'!$E$403</f>
        <v>1.6960999999999999</v>
      </c>
      <c r="M445" s="1213">
        <f t="shared" si="65"/>
        <v>1.08126375</v>
      </c>
      <c r="N445" s="14"/>
      <c r="O445" s="14"/>
      <c r="P445" s="14"/>
      <c r="Q445" s="1681"/>
      <c r="R445" s="1683"/>
      <c r="S445" s="1656"/>
      <c r="T445" s="1199" t="s">
        <v>208</v>
      </c>
      <c r="U445" s="1198">
        <v>0.64</v>
      </c>
      <c r="V445" s="1198">
        <v>0.75</v>
      </c>
      <c r="W445" s="1198">
        <v>0.75</v>
      </c>
      <c r="X445" s="1198">
        <v>1</v>
      </c>
      <c r="Y445" s="1198">
        <v>0.15</v>
      </c>
      <c r="Z445" s="1198">
        <f>'[2]3.Hd'!$E$403</f>
        <v>1.6960999999999999</v>
      </c>
      <c r="AA445" s="1198">
        <f t="shared" si="64"/>
        <v>1.08126375</v>
      </c>
      <c r="AB445" s="145"/>
      <c r="AC445" s="145"/>
      <c r="AD445" s="145"/>
      <c r="AE445" s="145"/>
      <c r="AF445" s="14"/>
      <c r="AG445" s="41"/>
      <c r="BH445" s="1201"/>
      <c r="BI445" s="17"/>
      <c r="BJ445" s="560"/>
      <c r="BK445" s="560"/>
      <c r="BL445" s="560"/>
      <c r="BM445" s="560"/>
      <c r="BN445" s="560"/>
      <c r="BO445" s="560"/>
      <c r="BP445" s="560"/>
      <c r="BQ445" s="560"/>
      <c r="BR445" s="560"/>
      <c r="BS445" s="1189"/>
      <c r="BT445" s="560"/>
      <c r="CD445" s="9"/>
      <c r="CE445" s="9"/>
      <c r="CF445" s="9"/>
      <c r="CG445" s="9"/>
      <c r="CH445" s="9"/>
      <c r="CI445" s="9"/>
      <c r="CJ445" s="9"/>
      <c r="CK445" s="9"/>
      <c r="CL445" s="9"/>
      <c r="CM445" s="9"/>
      <c r="CN445" s="9"/>
      <c r="CO445" s="9"/>
      <c r="CP445" s="9"/>
      <c r="CQ445" s="9"/>
      <c r="CR445" s="9"/>
      <c r="CS445" s="9"/>
      <c r="CT445" s="9"/>
      <c r="CU445" s="9"/>
      <c r="CV445" s="9"/>
      <c r="CW445" s="9"/>
      <c r="CX445" s="9"/>
      <c r="CY445" s="9"/>
      <c r="CZ445" s="9"/>
    </row>
    <row r="446" spans="2:104">
      <c r="B446" s="14"/>
      <c r="C446" s="1662"/>
      <c r="D446" s="1661"/>
      <c r="E446" s="1678"/>
      <c r="F446" s="1214" t="s">
        <v>208</v>
      </c>
      <c r="G446" s="1213">
        <v>0.64</v>
      </c>
      <c r="H446" s="1213">
        <v>0.75</v>
      </c>
      <c r="I446" s="1213">
        <v>0.75</v>
      </c>
      <c r="J446" s="1213">
        <v>1</v>
      </c>
      <c r="K446" s="1213">
        <v>0.15</v>
      </c>
      <c r="L446" s="1213">
        <f>'[2]3.Hd'!$E$403</f>
        <v>1.6960999999999999</v>
      </c>
      <c r="M446" s="1213">
        <f t="shared" si="65"/>
        <v>1.08126375</v>
      </c>
      <c r="N446" s="14"/>
      <c r="O446" s="14"/>
      <c r="P446" s="14"/>
      <c r="Q446" s="1681"/>
      <c r="R446" s="1683"/>
      <c r="S446" s="1656"/>
      <c r="T446" s="1199" t="s">
        <v>209</v>
      </c>
      <c r="U446" s="1198">
        <v>0.68</v>
      </c>
      <c r="V446" s="1198">
        <v>0.75</v>
      </c>
      <c r="W446" s="1198">
        <v>0.75</v>
      </c>
      <c r="X446" s="1198">
        <v>1</v>
      </c>
      <c r="Y446" s="1198">
        <v>0.15</v>
      </c>
      <c r="Z446" s="1198">
        <f>'[2]3.Hd'!$E$403</f>
        <v>1.6960999999999999</v>
      </c>
      <c r="AA446" s="1198">
        <f t="shared" si="64"/>
        <v>1.08126375</v>
      </c>
      <c r="AB446" s="145"/>
      <c r="AC446" s="145"/>
      <c r="AD446" s="145"/>
      <c r="AE446" s="145"/>
      <c r="AF446" s="14"/>
      <c r="AG446" s="41"/>
      <c r="BH446" s="1201"/>
      <c r="BI446" s="17"/>
      <c r="BJ446" s="560"/>
      <c r="BK446" s="560"/>
      <c r="BL446" s="560"/>
      <c r="BM446" s="560"/>
      <c r="BN446" s="560"/>
      <c r="BO446" s="560"/>
      <c r="BP446" s="560"/>
      <c r="BQ446" s="560"/>
      <c r="BR446" s="560"/>
      <c r="BS446" s="1189"/>
      <c r="BT446" s="560"/>
      <c r="CD446" s="9"/>
      <c r="CE446" s="9"/>
      <c r="CF446" s="9"/>
      <c r="CG446" s="9"/>
      <c r="CH446" s="9"/>
      <c r="CI446" s="9"/>
      <c r="CJ446" s="9"/>
      <c r="CK446" s="9"/>
      <c r="CL446" s="9"/>
      <c r="CM446" s="9"/>
      <c r="CN446" s="9"/>
      <c r="CO446" s="9"/>
      <c r="CP446" s="9"/>
      <c r="CQ446" s="9"/>
      <c r="CR446" s="9"/>
      <c r="CS446" s="9"/>
      <c r="CT446" s="9"/>
      <c r="CU446" s="9"/>
      <c r="CV446" s="9"/>
      <c r="CW446" s="9"/>
      <c r="CX446" s="9"/>
      <c r="CY446" s="9"/>
      <c r="CZ446" s="9"/>
    </row>
    <row r="447" spans="2:104">
      <c r="B447" s="14"/>
      <c r="C447" s="1662"/>
      <c r="D447" s="1661"/>
      <c r="E447" s="1678"/>
      <c r="F447" s="1214" t="s">
        <v>209</v>
      </c>
      <c r="G447" s="1213">
        <v>0.68</v>
      </c>
      <c r="H447" s="1213">
        <v>0.75</v>
      </c>
      <c r="I447" s="1213">
        <v>0.75</v>
      </c>
      <c r="J447" s="1213">
        <v>1</v>
      </c>
      <c r="K447" s="1213">
        <v>0.15</v>
      </c>
      <c r="L447" s="1213">
        <f>'[2]3.Hd'!$E$403</f>
        <v>1.6960999999999999</v>
      </c>
      <c r="M447" s="1213">
        <f t="shared" si="65"/>
        <v>1.08126375</v>
      </c>
      <c r="N447" s="14"/>
      <c r="O447" s="14"/>
      <c r="P447" s="14"/>
      <c r="Q447" s="1681"/>
      <c r="R447" s="1683"/>
      <c r="S447" s="1656"/>
      <c r="T447" s="1199" t="s">
        <v>210</v>
      </c>
      <c r="U447" s="1198">
        <v>0.73</v>
      </c>
      <c r="V447" s="1198">
        <v>0.75</v>
      </c>
      <c r="W447" s="1198">
        <v>0.75</v>
      </c>
      <c r="X447" s="1198">
        <v>1</v>
      </c>
      <c r="Y447" s="1198">
        <v>0.15</v>
      </c>
      <c r="Z447" s="1198">
        <f>'[2]3.Hd'!$E$403</f>
        <v>1.6960999999999999</v>
      </c>
      <c r="AA447" s="1198">
        <f t="shared" si="64"/>
        <v>1.08126375</v>
      </c>
      <c r="AB447" s="145"/>
      <c r="AC447" s="145"/>
      <c r="AD447" s="145"/>
      <c r="AE447" s="145"/>
      <c r="AF447" s="14"/>
      <c r="AG447" s="41"/>
      <c r="CD447" s="9"/>
      <c r="CE447" s="9"/>
      <c r="CF447" s="9"/>
      <c r="CG447" s="9"/>
      <c r="CH447" s="9"/>
      <c r="CI447" s="9"/>
      <c r="CJ447" s="9"/>
      <c r="CK447" s="9"/>
      <c r="CL447" s="9"/>
      <c r="CM447" s="9"/>
      <c r="CN447" s="9"/>
      <c r="CO447" s="9"/>
      <c r="CP447" s="9"/>
      <c r="CQ447" s="9"/>
      <c r="CR447" s="9"/>
      <c r="CS447" s="9"/>
      <c r="CT447" s="9"/>
      <c r="CU447" s="9"/>
      <c r="CV447" s="9"/>
      <c r="CW447" s="9"/>
      <c r="CX447" s="9"/>
      <c r="CY447" s="9"/>
      <c r="CZ447" s="9"/>
    </row>
    <row r="448" spans="2:104">
      <c r="B448" s="14"/>
      <c r="C448" s="1662"/>
      <c r="D448" s="1661"/>
      <c r="E448" s="1678"/>
      <c r="F448" s="1214" t="s">
        <v>210</v>
      </c>
      <c r="G448" s="1213">
        <v>0.73</v>
      </c>
      <c r="H448" s="1213">
        <v>0.75</v>
      </c>
      <c r="I448" s="1213">
        <v>0.75</v>
      </c>
      <c r="J448" s="1213">
        <v>1</v>
      </c>
      <c r="K448" s="1213">
        <v>0.15</v>
      </c>
      <c r="L448" s="1213">
        <f>'[2]3.Hd'!$E$403</f>
        <v>1.6960999999999999</v>
      </c>
      <c r="M448" s="1213">
        <f t="shared" si="65"/>
        <v>1.08126375</v>
      </c>
      <c r="N448" s="14"/>
      <c r="O448" s="14"/>
      <c r="P448" s="14"/>
      <c r="Q448" s="1681"/>
      <c r="R448" s="1683"/>
      <c r="S448" s="1656"/>
      <c r="T448" s="1199" t="s">
        <v>211</v>
      </c>
      <c r="U448" s="1198">
        <v>0.72</v>
      </c>
      <c r="V448" s="1198">
        <v>0.75</v>
      </c>
      <c r="W448" s="1198">
        <v>0.75</v>
      </c>
      <c r="X448" s="1198">
        <v>1</v>
      </c>
      <c r="Y448" s="1198">
        <v>0.15</v>
      </c>
      <c r="Z448" s="1198">
        <f>'[2]3.Hd'!$E$403</f>
        <v>1.6960999999999999</v>
      </c>
      <c r="AA448" s="1198">
        <f t="shared" si="64"/>
        <v>1.08126375</v>
      </c>
      <c r="AB448" s="145"/>
      <c r="AC448" s="145"/>
      <c r="AD448" s="145"/>
      <c r="AE448" s="145"/>
      <c r="AF448" s="14"/>
      <c r="AG448" s="41"/>
      <c r="CD448" s="9"/>
      <c r="CE448" s="9"/>
      <c r="CF448" s="9"/>
      <c r="CG448" s="9"/>
      <c r="CH448" s="9"/>
      <c r="CI448" s="9"/>
      <c r="CJ448" s="9"/>
      <c r="CK448" s="9"/>
      <c r="CL448" s="9"/>
      <c r="CM448" s="9"/>
      <c r="CN448" s="9"/>
      <c r="CO448" s="9"/>
      <c r="CP448" s="9"/>
      <c r="CQ448" s="9"/>
      <c r="CR448" s="9"/>
      <c r="CS448" s="9"/>
      <c r="CT448" s="9"/>
      <c r="CU448" s="9"/>
      <c r="CV448" s="9"/>
      <c r="CW448" s="9"/>
      <c r="CX448" s="9"/>
      <c r="CY448" s="9"/>
      <c r="CZ448" s="9"/>
    </row>
    <row r="449" spans="2:104">
      <c r="B449" s="14"/>
      <c r="C449" s="1662"/>
      <c r="D449" s="1661"/>
      <c r="E449" s="1678"/>
      <c r="F449" s="1214" t="s">
        <v>211</v>
      </c>
      <c r="G449" s="1213">
        <v>0.72</v>
      </c>
      <c r="H449" s="1213">
        <v>0.75</v>
      </c>
      <c r="I449" s="1213">
        <v>0.75</v>
      </c>
      <c r="J449" s="1213">
        <v>1</v>
      </c>
      <c r="K449" s="1213">
        <v>0.15</v>
      </c>
      <c r="L449" s="1213">
        <f>'[2]3.Hd'!$E$403</f>
        <v>1.6960999999999999</v>
      </c>
      <c r="M449" s="1213">
        <f t="shared" si="65"/>
        <v>1.08126375</v>
      </c>
      <c r="N449" s="14"/>
      <c r="O449" s="14"/>
      <c r="P449" s="14"/>
      <c r="Q449" s="1681"/>
      <c r="R449" s="1683"/>
      <c r="S449" s="1656"/>
      <c r="T449" s="1199" t="s">
        <v>212</v>
      </c>
      <c r="U449" s="1198">
        <v>0.67</v>
      </c>
      <c r="V449" s="1198">
        <v>0.75</v>
      </c>
      <c r="W449" s="1198">
        <v>0.75</v>
      </c>
      <c r="X449" s="1198">
        <v>1</v>
      </c>
      <c r="Y449" s="1198">
        <v>0.15</v>
      </c>
      <c r="Z449" s="1198">
        <f>'[2]3.Hd'!$E$403</f>
        <v>1.6960999999999999</v>
      </c>
      <c r="AA449" s="1198">
        <f t="shared" si="64"/>
        <v>1.08126375</v>
      </c>
      <c r="AB449" s="145"/>
      <c r="AC449" s="145"/>
      <c r="AD449" s="145"/>
      <c r="AE449" s="145"/>
      <c r="AF449" s="14"/>
      <c r="AG449" s="41"/>
      <c r="CD449" s="9"/>
      <c r="CE449" s="9"/>
      <c r="CF449" s="9"/>
      <c r="CG449" s="9"/>
      <c r="CH449" s="9"/>
      <c r="CI449" s="9"/>
      <c r="CJ449" s="9"/>
      <c r="CK449" s="9"/>
      <c r="CL449" s="9"/>
      <c r="CM449" s="9"/>
      <c r="CN449" s="9"/>
      <c r="CO449" s="9"/>
      <c r="CP449" s="9"/>
      <c r="CQ449" s="9"/>
      <c r="CR449" s="9"/>
      <c r="CS449" s="9"/>
      <c r="CT449" s="9"/>
      <c r="CU449" s="9"/>
      <c r="CV449" s="9"/>
      <c r="CW449" s="9"/>
      <c r="CX449" s="9"/>
      <c r="CY449" s="9"/>
      <c r="CZ449" s="9"/>
    </row>
    <row r="450" spans="2:104" ht="15" customHeight="1">
      <c r="B450" s="14"/>
      <c r="C450" s="1662"/>
      <c r="D450" s="1661"/>
      <c r="E450" s="1678"/>
      <c r="F450" s="1214" t="s">
        <v>212</v>
      </c>
      <c r="G450" s="1213">
        <v>0.67</v>
      </c>
      <c r="H450" s="1213">
        <v>0.75</v>
      </c>
      <c r="I450" s="1213">
        <v>0.75</v>
      </c>
      <c r="J450" s="1213">
        <v>1</v>
      </c>
      <c r="K450" s="1213">
        <v>0.15</v>
      </c>
      <c r="L450" s="1213">
        <f>'[2]3.Hd'!$E$403</f>
        <v>1.6960999999999999</v>
      </c>
      <c r="M450" s="1213">
        <f t="shared" si="65"/>
        <v>1.08126375</v>
      </c>
      <c r="N450" s="14"/>
      <c r="O450" s="14"/>
      <c r="P450" s="14"/>
      <c r="Q450" s="1681"/>
      <c r="R450" s="1683"/>
      <c r="S450" s="1656"/>
      <c r="T450" s="1199" t="s">
        <v>213</v>
      </c>
      <c r="U450" s="1198">
        <v>0.6</v>
      </c>
      <c r="V450" s="1198">
        <v>0.75</v>
      </c>
      <c r="W450" s="1198">
        <v>0.75</v>
      </c>
      <c r="X450" s="1198">
        <v>1</v>
      </c>
      <c r="Y450" s="1198">
        <v>0.15</v>
      </c>
      <c r="Z450" s="1198">
        <f>'[2]3.Hd'!$E$403</f>
        <v>1.6960999999999999</v>
      </c>
      <c r="AA450" s="1198">
        <f t="shared" si="64"/>
        <v>1.08126375</v>
      </c>
      <c r="AB450" s="145"/>
      <c r="AC450" s="145"/>
      <c r="AD450" s="145"/>
      <c r="AE450" s="145"/>
      <c r="AF450" s="14"/>
      <c r="AG450" s="41"/>
      <c r="CD450" s="9"/>
      <c r="CE450" s="9"/>
      <c r="CF450" s="9"/>
      <c r="CG450" s="9"/>
      <c r="CH450" s="9"/>
      <c r="CI450" s="9"/>
      <c r="CJ450" s="9"/>
      <c r="CK450" s="9"/>
      <c r="CL450" s="9"/>
      <c r="CM450" s="9"/>
      <c r="CN450" s="9"/>
      <c r="CO450" s="9"/>
      <c r="CP450" s="9"/>
      <c r="CQ450" s="9"/>
      <c r="CR450" s="9"/>
      <c r="CS450" s="9"/>
      <c r="CT450" s="9"/>
      <c r="CU450" s="9"/>
      <c r="CV450" s="9"/>
      <c r="CW450" s="9"/>
      <c r="CX450" s="9"/>
      <c r="CY450" s="9"/>
      <c r="CZ450" s="9"/>
    </row>
    <row r="451" spans="2:104" ht="15" customHeight="1">
      <c r="B451" s="14"/>
      <c r="C451" s="1662"/>
      <c r="D451" s="1661"/>
      <c r="E451" s="1678"/>
      <c r="F451" s="1214" t="s">
        <v>213</v>
      </c>
      <c r="G451" s="1213">
        <v>0.6</v>
      </c>
      <c r="H451" s="1213">
        <v>0.75</v>
      </c>
      <c r="I451" s="1213">
        <v>0.75</v>
      </c>
      <c r="J451" s="1213">
        <v>1</v>
      </c>
      <c r="K451" s="1213">
        <v>0.15</v>
      </c>
      <c r="L451" s="1213">
        <f>'[2]3.Hd'!$E$403</f>
        <v>1.6960999999999999</v>
      </c>
      <c r="M451" s="1213">
        <f t="shared" si="65"/>
        <v>1.08126375</v>
      </c>
      <c r="N451" s="14"/>
      <c r="O451" s="14"/>
      <c r="P451" s="14"/>
      <c r="Q451" s="1681"/>
      <c r="R451" s="1683"/>
      <c r="S451" s="1656"/>
      <c r="T451" s="1199" t="s">
        <v>214</v>
      </c>
      <c r="U451" s="1198">
        <v>0.3</v>
      </c>
      <c r="V451" s="1198">
        <v>0.75</v>
      </c>
      <c r="W451" s="1198">
        <v>0.75</v>
      </c>
      <c r="X451" s="1198">
        <v>0.99999999999999989</v>
      </c>
      <c r="Y451" s="1198">
        <v>0.15</v>
      </c>
      <c r="Z451" s="1198">
        <f>'[2]3.Hd'!$E$403</f>
        <v>1.6960999999999999</v>
      </c>
      <c r="AA451" s="1198">
        <f t="shared" si="64"/>
        <v>1.0812637499999997</v>
      </c>
      <c r="AB451" s="380"/>
      <c r="AC451" s="380"/>
      <c r="AD451" s="380"/>
      <c r="AE451" s="380"/>
      <c r="AF451" s="380"/>
      <c r="AG451" s="41"/>
      <c r="CD451" s="9"/>
      <c r="CE451" s="9"/>
      <c r="CF451" s="9"/>
      <c r="CG451" s="9"/>
      <c r="CH451" s="9"/>
      <c r="CI451" s="9"/>
      <c r="CJ451" s="9"/>
      <c r="CK451" s="9"/>
      <c r="CL451" s="9"/>
      <c r="CM451" s="9"/>
      <c r="CN451" s="9"/>
      <c r="CO451" s="9"/>
      <c r="CP451" s="9"/>
      <c r="CQ451" s="9"/>
      <c r="CR451" s="9"/>
      <c r="CS451" s="9"/>
      <c r="CT451" s="9"/>
      <c r="CU451" s="9"/>
      <c r="CV451" s="9"/>
      <c r="CW451" s="9"/>
      <c r="CX451" s="9"/>
      <c r="CY451" s="9"/>
      <c r="CZ451" s="9"/>
    </row>
    <row r="452" spans="2:104">
      <c r="B452" s="14"/>
      <c r="C452" s="1662"/>
      <c r="D452" s="1661"/>
      <c r="E452" s="1678"/>
      <c r="F452" s="1214" t="s">
        <v>214</v>
      </c>
      <c r="G452" s="1213">
        <v>0.3</v>
      </c>
      <c r="H452" s="1213">
        <v>0.75</v>
      </c>
      <c r="I452" s="1213">
        <v>0.75</v>
      </c>
      <c r="J452" s="1213">
        <v>0.99999999999999989</v>
      </c>
      <c r="K452" s="1213">
        <v>0.15</v>
      </c>
      <c r="L452" s="1213">
        <f>'[2]3.Hd'!$E$403</f>
        <v>1.6960999999999999</v>
      </c>
      <c r="M452" s="1213">
        <f t="shared" si="65"/>
        <v>1.0812637499999997</v>
      </c>
      <c r="N452" s="14"/>
      <c r="O452" s="14"/>
      <c r="P452" s="14"/>
      <c r="Q452" s="1681"/>
      <c r="R452" s="1683"/>
      <c r="S452" s="1657"/>
      <c r="T452" s="1199" t="s">
        <v>215</v>
      </c>
      <c r="U452" s="1198">
        <v>0.42</v>
      </c>
      <c r="V452" s="1198">
        <v>0.75</v>
      </c>
      <c r="W452" s="1198">
        <v>0.75</v>
      </c>
      <c r="X452" s="1198">
        <v>1</v>
      </c>
      <c r="Y452" s="1198">
        <v>0.15</v>
      </c>
      <c r="Z452" s="1198">
        <f>'[2]3.Hd'!$E$403</f>
        <v>1.6960999999999999</v>
      </c>
      <c r="AA452" s="1198">
        <f t="shared" si="64"/>
        <v>1.08126375</v>
      </c>
      <c r="AB452" s="145"/>
      <c r="AC452" s="145"/>
      <c r="AD452" s="34"/>
      <c r="AE452" s="34"/>
      <c r="AF452" s="34"/>
      <c r="AG452" s="41"/>
      <c r="CD452" s="9"/>
      <c r="CE452" s="9"/>
      <c r="CF452" s="9"/>
      <c r="CG452" s="9"/>
      <c r="CH452" s="9"/>
      <c r="CI452" s="9"/>
      <c r="CJ452" s="9"/>
      <c r="CK452" s="9"/>
      <c r="CL452" s="9"/>
      <c r="CM452" s="9"/>
      <c r="CN452" s="9"/>
      <c r="CO452" s="9"/>
      <c r="CP452" s="9"/>
      <c r="CQ452" s="9"/>
      <c r="CR452" s="9"/>
      <c r="CS452" s="9"/>
      <c r="CT452" s="9"/>
      <c r="CU452" s="9"/>
      <c r="CV452" s="9"/>
      <c r="CW452" s="9"/>
      <c r="CX452" s="9"/>
      <c r="CY452" s="9"/>
      <c r="CZ452" s="9"/>
    </row>
    <row r="453" spans="2:104" ht="16">
      <c r="B453" s="14"/>
      <c r="C453" s="1662"/>
      <c r="D453" s="1661"/>
      <c r="E453" s="1678"/>
      <c r="F453" s="1214" t="s">
        <v>215</v>
      </c>
      <c r="G453" s="1213">
        <v>0.42</v>
      </c>
      <c r="H453" s="1213">
        <v>0.75</v>
      </c>
      <c r="I453" s="1213">
        <v>0.75</v>
      </c>
      <c r="J453" s="1213">
        <v>1</v>
      </c>
      <c r="K453" s="1213">
        <v>0.15</v>
      </c>
      <c r="L453" s="1213">
        <f>'[2]3.Hd'!$E$403</f>
        <v>1.6960999999999999</v>
      </c>
      <c r="M453" s="1213">
        <f t="shared" si="65"/>
        <v>1.08126375</v>
      </c>
      <c r="N453" s="14"/>
      <c r="O453" s="14"/>
      <c r="P453" s="14"/>
      <c r="Q453" s="1681"/>
      <c r="R453" s="1683"/>
      <c r="S453" s="1669" t="s">
        <v>921</v>
      </c>
      <c r="T453" s="1653" t="s">
        <v>24</v>
      </c>
      <c r="U453" s="89" t="s">
        <v>319</v>
      </c>
      <c r="V453" s="89" t="s">
        <v>320</v>
      </c>
      <c r="W453" s="89" t="s">
        <v>321</v>
      </c>
      <c r="X453" s="89" t="s">
        <v>322</v>
      </c>
      <c r="Y453" s="89" t="s">
        <v>323</v>
      </c>
      <c r="Z453" s="89" t="s">
        <v>324</v>
      </c>
      <c r="AA453" s="89" t="s">
        <v>311</v>
      </c>
      <c r="AB453" s="145"/>
      <c r="AC453" s="145"/>
      <c r="AD453" s="145"/>
      <c r="AE453" s="145"/>
      <c r="AF453" s="17"/>
      <c r="AG453" s="41"/>
      <c r="CD453" s="9"/>
      <c r="CE453" s="9"/>
      <c r="CF453" s="9"/>
      <c r="CG453" s="9"/>
      <c r="CH453" s="9"/>
      <c r="CI453" s="9"/>
      <c r="CJ453" s="9"/>
      <c r="CK453" s="9"/>
      <c r="CL453" s="9"/>
      <c r="CM453" s="9"/>
      <c r="CN453" s="9"/>
      <c r="CO453" s="9"/>
      <c r="CP453" s="9"/>
      <c r="CQ453" s="9"/>
      <c r="CR453" s="9"/>
      <c r="CS453" s="9"/>
      <c r="CT453" s="9"/>
      <c r="CU453" s="9"/>
      <c r="CV453" s="9"/>
      <c r="CW453" s="9"/>
      <c r="CX453" s="9"/>
      <c r="CY453" s="9"/>
      <c r="CZ453" s="9"/>
    </row>
    <row r="454" spans="2:104" ht="16">
      <c r="B454" s="14"/>
      <c r="C454" s="1662"/>
      <c r="D454" s="1661"/>
      <c r="E454" s="1679" t="s">
        <v>911</v>
      </c>
      <c r="F454" s="1653" t="s">
        <v>24</v>
      </c>
      <c r="G454" s="89" t="s">
        <v>319</v>
      </c>
      <c r="H454" s="89" t="s">
        <v>320</v>
      </c>
      <c r="I454" s="89" t="s">
        <v>321</v>
      </c>
      <c r="J454" s="89" t="s">
        <v>322</v>
      </c>
      <c r="K454" s="89" t="s">
        <v>323</v>
      </c>
      <c r="L454" s="89" t="s">
        <v>324</v>
      </c>
      <c r="M454" s="89" t="s">
        <v>311</v>
      </c>
      <c r="N454" s="14"/>
      <c r="O454" s="14"/>
      <c r="P454" s="14"/>
      <c r="Q454" s="1681"/>
      <c r="R454" s="1683"/>
      <c r="S454" s="1670"/>
      <c r="T454" s="1654"/>
      <c r="U454" s="115" t="s">
        <v>24</v>
      </c>
      <c r="V454" s="115" t="s">
        <v>24</v>
      </c>
      <c r="W454" s="115" t="s">
        <v>24</v>
      </c>
      <c r="X454" s="115" t="s">
        <v>24</v>
      </c>
      <c r="Y454" s="115" t="s">
        <v>24</v>
      </c>
      <c r="Z454" s="92" t="s">
        <v>32</v>
      </c>
      <c r="AA454" s="92" t="s">
        <v>32</v>
      </c>
      <c r="AB454" s="145"/>
      <c r="AC454" s="145"/>
      <c r="AD454" s="145"/>
      <c r="AE454" s="145"/>
      <c r="AF454" s="17"/>
      <c r="AG454" s="41"/>
      <c r="CD454" s="9"/>
      <c r="CE454" s="9"/>
      <c r="CF454" s="9"/>
      <c r="CG454" s="9"/>
      <c r="CH454" s="9"/>
      <c r="CI454" s="9"/>
      <c r="CJ454" s="9"/>
      <c r="CK454" s="9"/>
      <c r="CL454" s="9"/>
      <c r="CM454" s="9"/>
      <c r="CN454" s="9"/>
      <c r="CO454" s="9"/>
      <c r="CP454" s="9"/>
      <c r="CQ454" s="9"/>
      <c r="CR454" s="9"/>
      <c r="CS454" s="9"/>
      <c r="CT454" s="9"/>
      <c r="CU454" s="9"/>
      <c r="CV454" s="9"/>
      <c r="CW454" s="9"/>
      <c r="CX454" s="9"/>
      <c r="CY454" s="9"/>
      <c r="CZ454" s="9"/>
    </row>
    <row r="455" spans="2:104">
      <c r="B455" s="14"/>
      <c r="C455" s="1662"/>
      <c r="D455" s="1661"/>
      <c r="E455" s="1679"/>
      <c r="F455" s="1654"/>
      <c r="G455" s="115" t="s">
        <v>24</v>
      </c>
      <c r="H455" s="115" t="s">
        <v>24</v>
      </c>
      <c r="I455" s="115" t="s">
        <v>24</v>
      </c>
      <c r="J455" s="115" t="s">
        <v>24</v>
      </c>
      <c r="K455" s="115" t="s">
        <v>24</v>
      </c>
      <c r="L455" s="92" t="s">
        <v>32</v>
      </c>
      <c r="M455" s="92" t="s">
        <v>32</v>
      </c>
      <c r="N455" s="14"/>
      <c r="O455" s="14"/>
      <c r="P455" s="14"/>
      <c r="Q455" s="1681"/>
      <c r="R455" s="1683"/>
      <c r="S455" s="1670"/>
      <c r="T455" s="1199" t="s">
        <v>204</v>
      </c>
      <c r="U455" s="1198">
        <v>0.39</v>
      </c>
      <c r="V455" s="1198">
        <v>0.75</v>
      </c>
      <c r="W455" s="1198">
        <v>0.75</v>
      </c>
      <c r="X455" s="1198">
        <v>1</v>
      </c>
      <c r="Y455" s="1198">
        <v>0.15</v>
      </c>
      <c r="Z455" s="1198">
        <f>'[2]3.Hd'!$E$403</f>
        <v>1.6960999999999999</v>
      </c>
      <c r="AA455" s="1198">
        <f t="shared" ref="AA455:AA466" si="66">X455*V455*(1-Y455)*Z455</f>
        <v>1.08126375</v>
      </c>
      <c r="AB455" s="145"/>
      <c r="AC455" s="145"/>
      <c r="AD455" s="145"/>
      <c r="AE455" s="145"/>
      <c r="AF455" s="17"/>
      <c r="AG455" s="41"/>
      <c r="CD455" s="9"/>
      <c r="CE455" s="9"/>
      <c r="CF455" s="9"/>
      <c r="CG455" s="9"/>
      <c r="CH455" s="9"/>
      <c r="CI455" s="9"/>
      <c r="CJ455" s="9"/>
      <c r="CK455" s="9"/>
      <c r="CL455" s="9"/>
      <c r="CM455" s="9"/>
      <c r="CN455" s="9"/>
      <c r="CO455" s="9"/>
      <c r="CP455" s="9"/>
      <c r="CQ455" s="9"/>
      <c r="CR455" s="9"/>
      <c r="CS455" s="9"/>
      <c r="CT455" s="9"/>
      <c r="CU455" s="9"/>
      <c r="CV455" s="9"/>
      <c r="CW455" s="9"/>
      <c r="CX455" s="9"/>
      <c r="CY455" s="9"/>
      <c r="CZ455" s="9"/>
    </row>
    <row r="456" spans="2:104">
      <c r="B456" s="14"/>
      <c r="C456" s="1662"/>
      <c r="D456" s="1661"/>
      <c r="E456" s="1679"/>
      <c r="F456" s="1214" t="s">
        <v>204</v>
      </c>
      <c r="G456" s="1213">
        <v>0.39</v>
      </c>
      <c r="H456" s="1213">
        <v>0.75</v>
      </c>
      <c r="I456" s="1213">
        <v>0.75</v>
      </c>
      <c r="J456" s="1213">
        <v>1</v>
      </c>
      <c r="K456" s="1213">
        <v>0.15</v>
      </c>
      <c r="L456" s="1213">
        <f>'[2]3.Hd'!$E$403</f>
        <v>1.6960999999999999</v>
      </c>
      <c r="M456" s="1213">
        <f t="shared" ref="M456:M467" si="67">J456*H456*(1-K456)*L456</f>
        <v>1.08126375</v>
      </c>
      <c r="N456" s="14"/>
      <c r="O456" s="14"/>
      <c r="P456" s="14"/>
      <c r="Q456" s="1681"/>
      <c r="R456" s="1683"/>
      <c r="S456" s="1670"/>
      <c r="T456" s="1199" t="s">
        <v>205</v>
      </c>
      <c r="U456" s="1198">
        <v>0.55000000000000004</v>
      </c>
      <c r="V456" s="1198">
        <v>0.75</v>
      </c>
      <c r="W456" s="1198">
        <v>0.75</v>
      </c>
      <c r="X456" s="1198">
        <v>1</v>
      </c>
      <c r="Y456" s="1198">
        <v>0.15</v>
      </c>
      <c r="Z456" s="1198">
        <f>'[2]3.Hd'!$E$403</f>
        <v>1.6960999999999999</v>
      </c>
      <c r="AA456" s="1198">
        <f t="shared" si="66"/>
        <v>1.08126375</v>
      </c>
      <c r="AB456" s="145"/>
      <c r="AC456" s="145"/>
      <c r="AD456" s="145"/>
      <c r="AE456" s="145"/>
      <c r="AF456" s="17"/>
      <c r="AG456" s="41"/>
      <c r="CD456" s="9"/>
      <c r="CE456" s="9"/>
      <c r="CF456" s="9"/>
      <c r="CG456" s="9"/>
      <c r="CH456" s="9"/>
      <c r="CI456" s="9"/>
      <c r="CJ456" s="9"/>
      <c r="CK456" s="9"/>
      <c r="CL456" s="9"/>
      <c r="CM456" s="9"/>
      <c r="CN456" s="9"/>
      <c r="CO456" s="9"/>
      <c r="CP456" s="9"/>
      <c r="CQ456" s="9"/>
      <c r="CR456" s="9"/>
      <c r="CS456" s="9"/>
      <c r="CT456" s="9"/>
      <c r="CU456" s="9"/>
      <c r="CV456" s="9"/>
      <c r="CW456" s="9"/>
      <c r="CX456" s="9"/>
      <c r="CY456" s="9"/>
      <c r="CZ456" s="9"/>
    </row>
    <row r="457" spans="2:104">
      <c r="B457" s="14"/>
      <c r="C457" s="1662"/>
      <c r="D457" s="1661"/>
      <c r="E457" s="1679"/>
      <c r="F457" s="1214" t="s">
        <v>205</v>
      </c>
      <c r="G457" s="1213">
        <v>0.55000000000000004</v>
      </c>
      <c r="H457" s="1213">
        <v>0.75</v>
      </c>
      <c r="I457" s="1213">
        <v>0.75</v>
      </c>
      <c r="J457" s="1213">
        <v>1</v>
      </c>
      <c r="K457" s="1213">
        <v>0.15</v>
      </c>
      <c r="L457" s="1213">
        <f>'[2]3.Hd'!$E$403</f>
        <v>1.6960999999999999</v>
      </c>
      <c r="M457" s="1213">
        <f t="shared" si="67"/>
        <v>1.08126375</v>
      </c>
      <c r="N457" s="14"/>
      <c r="O457" s="14"/>
      <c r="P457" s="14"/>
      <c r="Q457" s="1681"/>
      <c r="R457" s="1683"/>
      <c r="S457" s="1670"/>
      <c r="T457" s="1199" t="s">
        <v>206</v>
      </c>
      <c r="U457" s="1198">
        <v>0.63</v>
      </c>
      <c r="V457" s="1198">
        <v>0.75</v>
      </c>
      <c r="W457" s="1198">
        <v>0.75</v>
      </c>
      <c r="X457" s="1198">
        <v>1</v>
      </c>
      <c r="Y457" s="1198">
        <v>0.15</v>
      </c>
      <c r="Z457" s="1198">
        <f>'[2]3.Hd'!$E$403</f>
        <v>1.6960999999999999</v>
      </c>
      <c r="AA457" s="1198">
        <f t="shared" si="66"/>
        <v>1.08126375</v>
      </c>
      <c r="AB457" s="145"/>
      <c r="AC457" s="145"/>
      <c r="AD457" s="145"/>
      <c r="AE457" s="145"/>
      <c r="AF457" s="17"/>
      <c r="AG457" s="41"/>
      <c r="CD457" s="9"/>
      <c r="CE457" s="9"/>
      <c r="CF457" s="9"/>
      <c r="CG457" s="9"/>
      <c r="CH457" s="9"/>
      <c r="CI457" s="9"/>
      <c r="CJ457" s="9"/>
      <c r="CK457" s="9"/>
      <c r="CL457" s="9"/>
      <c r="CM457" s="9"/>
      <c r="CN457" s="9"/>
      <c r="CO457" s="9"/>
      <c r="CP457" s="9"/>
      <c r="CQ457" s="9"/>
      <c r="CR457" s="9"/>
      <c r="CS457" s="9"/>
      <c r="CT457" s="9"/>
      <c r="CU457" s="9"/>
      <c r="CV457" s="9"/>
      <c r="CW457" s="9"/>
      <c r="CX457" s="9"/>
      <c r="CY457" s="9"/>
      <c r="CZ457" s="9"/>
    </row>
    <row r="458" spans="2:104">
      <c r="B458" s="14"/>
      <c r="C458" s="1662"/>
      <c r="D458" s="1661"/>
      <c r="E458" s="1679"/>
      <c r="F458" s="1214" t="s">
        <v>206</v>
      </c>
      <c r="G458" s="1213">
        <v>0.63</v>
      </c>
      <c r="H458" s="1213">
        <v>0.75</v>
      </c>
      <c r="I458" s="1213">
        <v>0.75</v>
      </c>
      <c r="J458" s="1213">
        <v>1</v>
      </c>
      <c r="K458" s="1213">
        <v>0.15</v>
      </c>
      <c r="L458" s="1213">
        <f>'[2]3.Hd'!$E$403</f>
        <v>1.6960999999999999</v>
      </c>
      <c r="M458" s="1213">
        <f t="shared" si="67"/>
        <v>1.08126375</v>
      </c>
      <c r="N458" s="14"/>
      <c r="O458" s="14"/>
      <c r="P458" s="14"/>
      <c r="Q458" s="1681"/>
      <c r="R458" s="1683"/>
      <c r="S458" s="1670"/>
      <c r="T458" s="1199" t="s">
        <v>207</v>
      </c>
      <c r="U458" s="1198">
        <v>0.62</v>
      </c>
      <c r="V458" s="1198">
        <v>0.75</v>
      </c>
      <c r="W458" s="1198">
        <v>0.75</v>
      </c>
      <c r="X458" s="1198">
        <v>1</v>
      </c>
      <c r="Y458" s="1198">
        <v>0.15</v>
      </c>
      <c r="Z458" s="1198">
        <f>'[2]3.Hd'!$E$403</f>
        <v>1.6960999999999999</v>
      </c>
      <c r="AA458" s="1198">
        <f t="shared" si="66"/>
        <v>1.08126375</v>
      </c>
      <c r="AB458" s="145"/>
      <c r="AC458" s="145"/>
      <c r="AD458" s="145"/>
      <c r="AE458" s="145"/>
      <c r="AF458" s="17"/>
      <c r="AG458" s="41"/>
      <c r="CD458" s="9"/>
      <c r="CE458" s="9"/>
      <c r="CF458" s="9"/>
      <c r="CG458" s="9"/>
      <c r="CH458" s="9"/>
      <c r="CI458" s="9"/>
      <c r="CJ458" s="9"/>
      <c r="CK458" s="9"/>
      <c r="CL458" s="9"/>
      <c r="CM458" s="9"/>
      <c r="CN458" s="9"/>
      <c r="CO458" s="9"/>
      <c r="CP458" s="9"/>
      <c r="CQ458" s="9"/>
      <c r="CR458" s="9"/>
      <c r="CS458" s="9"/>
      <c r="CT458" s="9"/>
      <c r="CU458" s="9"/>
      <c r="CV458" s="9"/>
      <c r="CW458" s="9"/>
      <c r="CX458" s="9"/>
      <c r="CY458" s="9"/>
      <c r="CZ458" s="9"/>
    </row>
    <row r="459" spans="2:104">
      <c r="B459" s="14"/>
      <c r="C459" s="1662"/>
      <c r="D459" s="1661"/>
      <c r="E459" s="1679"/>
      <c r="F459" s="1214" t="s">
        <v>207</v>
      </c>
      <c r="G459" s="1213">
        <v>0.62</v>
      </c>
      <c r="H459" s="1213">
        <v>0.75</v>
      </c>
      <c r="I459" s="1213">
        <v>0.75</v>
      </c>
      <c r="J459" s="1213">
        <v>1</v>
      </c>
      <c r="K459" s="1213">
        <v>0.15</v>
      </c>
      <c r="L459" s="1213">
        <f>'[2]3.Hd'!$E$403</f>
        <v>1.6960999999999999</v>
      </c>
      <c r="M459" s="1213">
        <f t="shared" si="67"/>
        <v>1.08126375</v>
      </c>
      <c r="N459" s="14"/>
      <c r="O459" s="14"/>
      <c r="P459" s="14"/>
      <c r="Q459" s="1681"/>
      <c r="R459" s="1683"/>
      <c r="S459" s="1670"/>
      <c r="T459" s="1199" t="s">
        <v>208</v>
      </c>
      <c r="U459" s="1198">
        <v>0.64</v>
      </c>
      <c r="V459" s="1198">
        <v>0.75</v>
      </c>
      <c r="W459" s="1198">
        <v>0.75</v>
      </c>
      <c r="X459" s="1198">
        <v>1</v>
      </c>
      <c r="Y459" s="1198">
        <v>0.15</v>
      </c>
      <c r="Z459" s="1198">
        <f>'[2]3.Hd'!$E$403</f>
        <v>1.6960999999999999</v>
      </c>
      <c r="AA459" s="1198">
        <f t="shared" si="66"/>
        <v>1.08126375</v>
      </c>
      <c r="AB459" s="145"/>
      <c r="AC459" s="145"/>
      <c r="AD459" s="145"/>
      <c r="AE459" s="145"/>
      <c r="AF459" s="17"/>
      <c r="AG459" s="41"/>
      <c r="CD459" s="9"/>
      <c r="CE459" s="9"/>
      <c r="CF459" s="9"/>
      <c r="CG459" s="9"/>
      <c r="CH459" s="9"/>
      <c r="CI459" s="9"/>
      <c r="CJ459" s="9"/>
      <c r="CK459" s="9"/>
      <c r="CL459" s="9"/>
      <c r="CM459" s="9"/>
      <c r="CN459" s="9"/>
      <c r="CO459" s="9"/>
      <c r="CP459" s="9"/>
      <c r="CQ459" s="9"/>
      <c r="CR459" s="9"/>
      <c r="CS459" s="9"/>
      <c r="CT459" s="9"/>
      <c r="CU459" s="9"/>
      <c r="CV459" s="9"/>
      <c r="CW459" s="9"/>
      <c r="CX459" s="9"/>
      <c r="CY459" s="9"/>
      <c r="CZ459" s="9"/>
    </row>
    <row r="460" spans="2:104">
      <c r="B460" s="14"/>
      <c r="C460" s="1662"/>
      <c r="D460" s="1661"/>
      <c r="E460" s="1679"/>
      <c r="F460" s="1214" t="s">
        <v>208</v>
      </c>
      <c r="G460" s="1213">
        <v>0.64</v>
      </c>
      <c r="H460" s="1213">
        <v>0.75</v>
      </c>
      <c r="I460" s="1213">
        <v>0.75</v>
      </c>
      <c r="J460" s="1213">
        <v>1</v>
      </c>
      <c r="K460" s="1213">
        <v>0.15</v>
      </c>
      <c r="L460" s="1213">
        <f>'[2]3.Hd'!$E$403</f>
        <v>1.6960999999999999</v>
      </c>
      <c r="M460" s="1213">
        <f t="shared" si="67"/>
        <v>1.08126375</v>
      </c>
      <c r="N460" s="14"/>
      <c r="O460" s="14"/>
      <c r="P460" s="14"/>
      <c r="Q460" s="1681"/>
      <c r="R460" s="1683"/>
      <c r="S460" s="1670"/>
      <c r="T460" s="1199" t="s">
        <v>209</v>
      </c>
      <c r="U460" s="1198">
        <v>0.68</v>
      </c>
      <c r="V460" s="1198">
        <v>0.75</v>
      </c>
      <c r="W460" s="1198">
        <v>0.75</v>
      </c>
      <c r="X460" s="1198">
        <v>1</v>
      </c>
      <c r="Y460" s="1198">
        <v>0.15</v>
      </c>
      <c r="Z460" s="1198">
        <f>'[2]3.Hd'!$E$403</f>
        <v>1.6960999999999999</v>
      </c>
      <c r="AA460" s="1198">
        <f t="shared" si="66"/>
        <v>1.08126375</v>
      </c>
      <c r="AB460" s="145"/>
      <c r="AC460" s="145"/>
      <c r="AD460" s="145"/>
      <c r="AE460" s="145"/>
      <c r="AF460" s="17"/>
      <c r="AG460" s="41"/>
      <c r="CD460" s="9"/>
      <c r="CE460" s="9"/>
      <c r="CF460" s="9"/>
      <c r="CG460" s="9"/>
      <c r="CH460" s="9"/>
      <c r="CI460" s="9"/>
      <c r="CJ460" s="9"/>
      <c r="CK460" s="9"/>
      <c r="CL460" s="9"/>
      <c r="CM460" s="9"/>
      <c r="CN460" s="9"/>
      <c r="CO460" s="9"/>
      <c r="CP460" s="9"/>
      <c r="CQ460" s="9"/>
      <c r="CR460" s="9"/>
      <c r="CS460" s="9"/>
      <c r="CT460" s="9"/>
      <c r="CU460" s="9"/>
      <c r="CV460" s="9"/>
      <c r="CW460" s="9"/>
      <c r="CX460" s="9"/>
      <c r="CY460" s="9"/>
      <c r="CZ460" s="9"/>
    </row>
    <row r="461" spans="2:104">
      <c r="B461" s="14"/>
      <c r="C461" s="1662"/>
      <c r="D461" s="1661"/>
      <c r="E461" s="1679"/>
      <c r="F461" s="1214" t="s">
        <v>209</v>
      </c>
      <c r="G461" s="1213">
        <v>0.68</v>
      </c>
      <c r="H461" s="1213">
        <v>0.75</v>
      </c>
      <c r="I461" s="1213">
        <v>0.75</v>
      </c>
      <c r="J461" s="1213">
        <v>1</v>
      </c>
      <c r="K461" s="1213">
        <v>0.15</v>
      </c>
      <c r="L461" s="1213">
        <f>'[2]3.Hd'!$E$403</f>
        <v>1.6960999999999999</v>
      </c>
      <c r="M461" s="1213">
        <f t="shared" si="67"/>
        <v>1.08126375</v>
      </c>
      <c r="N461" s="14"/>
      <c r="O461" s="14"/>
      <c r="P461" s="14"/>
      <c r="Q461" s="1681"/>
      <c r="R461" s="1683"/>
      <c r="S461" s="1670"/>
      <c r="T461" s="1199" t="s">
        <v>210</v>
      </c>
      <c r="U461" s="1198">
        <v>0.73</v>
      </c>
      <c r="V461" s="1198">
        <v>0.75</v>
      </c>
      <c r="W461" s="1198">
        <v>0.75</v>
      </c>
      <c r="X461" s="1198">
        <v>1</v>
      </c>
      <c r="Y461" s="1198">
        <v>0.15</v>
      </c>
      <c r="Z461" s="1198">
        <f>'[2]3.Hd'!$E$403</f>
        <v>1.6960999999999999</v>
      </c>
      <c r="AA461" s="1198">
        <f t="shared" si="66"/>
        <v>1.08126375</v>
      </c>
      <c r="AB461" s="145"/>
      <c r="AC461" s="145"/>
      <c r="AD461" s="145"/>
      <c r="AE461" s="145"/>
      <c r="AF461" s="17"/>
      <c r="AG461" s="41"/>
      <c r="CD461" s="9"/>
      <c r="CE461" s="9"/>
      <c r="CF461" s="9"/>
      <c r="CG461" s="9"/>
      <c r="CH461" s="9"/>
      <c r="CI461" s="9"/>
      <c r="CJ461" s="9"/>
      <c r="CK461" s="9"/>
      <c r="CL461" s="9"/>
      <c r="CM461" s="9"/>
      <c r="CN461" s="9"/>
      <c r="CO461" s="9"/>
      <c r="CP461" s="9"/>
      <c r="CQ461" s="9"/>
      <c r="CR461" s="9"/>
      <c r="CS461" s="9"/>
      <c r="CT461" s="9"/>
      <c r="CU461" s="9"/>
      <c r="CV461" s="9"/>
      <c r="CW461" s="9"/>
      <c r="CX461" s="9"/>
      <c r="CY461" s="9"/>
      <c r="CZ461" s="9"/>
    </row>
    <row r="462" spans="2:104">
      <c r="B462" s="14"/>
      <c r="C462" s="1662"/>
      <c r="D462" s="1661"/>
      <c r="E462" s="1679"/>
      <c r="F462" s="1214" t="s">
        <v>210</v>
      </c>
      <c r="G462" s="1213">
        <v>0.73</v>
      </c>
      <c r="H462" s="1213">
        <v>0.75</v>
      </c>
      <c r="I462" s="1213">
        <v>0.75</v>
      </c>
      <c r="J462" s="1213">
        <v>1</v>
      </c>
      <c r="K462" s="1213">
        <v>0.15</v>
      </c>
      <c r="L462" s="1213">
        <f>'[2]3.Hd'!$E$403</f>
        <v>1.6960999999999999</v>
      </c>
      <c r="M462" s="1213">
        <f t="shared" si="67"/>
        <v>1.08126375</v>
      </c>
      <c r="N462" s="14"/>
      <c r="O462" s="14"/>
      <c r="P462" s="14"/>
      <c r="Q462" s="1681"/>
      <c r="R462" s="1683"/>
      <c r="S462" s="1670"/>
      <c r="T462" s="1199" t="s">
        <v>211</v>
      </c>
      <c r="U462" s="1198">
        <v>0.72</v>
      </c>
      <c r="V462" s="1198">
        <v>0.75</v>
      </c>
      <c r="W462" s="1198">
        <v>0.75</v>
      </c>
      <c r="X462" s="1198">
        <v>1</v>
      </c>
      <c r="Y462" s="1198">
        <v>0.15</v>
      </c>
      <c r="Z462" s="1198">
        <f>'[2]3.Hd'!$E$403</f>
        <v>1.6960999999999999</v>
      </c>
      <c r="AA462" s="1198">
        <f t="shared" si="66"/>
        <v>1.08126375</v>
      </c>
      <c r="AB462" s="145"/>
      <c r="AC462" s="145"/>
      <c r="AD462" s="145"/>
      <c r="AE462" s="145"/>
      <c r="AF462" s="17"/>
      <c r="AG462" s="41"/>
      <c r="CD462" s="9"/>
      <c r="CE462" s="9"/>
      <c r="CF462" s="9"/>
      <c r="CG462" s="9"/>
      <c r="CH462" s="9"/>
      <c r="CI462" s="9"/>
      <c r="CJ462" s="9"/>
      <c r="CK462" s="9"/>
      <c r="CL462" s="9"/>
      <c r="CM462" s="9"/>
      <c r="CN462" s="9"/>
      <c r="CO462" s="9"/>
      <c r="CP462" s="9"/>
      <c r="CQ462" s="9"/>
      <c r="CR462" s="9"/>
      <c r="CS462" s="9"/>
      <c r="CT462" s="9"/>
      <c r="CU462" s="9"/>
      <c r="CV462" s="9"/>
      <c r="CW462" s="9"/>
      <c r="CX462" s="9"/>
      <c r="CY462" s="9"/>
      <c r="CZ462" s="9"/>
    </row>
    <row r="463" spans="2:104">
      <c r="B463" s="14"/>
      <c r="C463" s="1662"/>
      <c r="D463" s="1661"/>
      <c r="E463" s="1679"/>
      <c r="F463" s="1214" t="s">
        <v>211</v>
      </c>
      <c r="G463" s="1213">
        <v>0.72</v>
      </c>
      <c r="H463" s="1213">
        <v>0.75</v>
      </c>
      <c r="I463" s="1213">
        <v>0.75</v>
      </c>
      <c r="J463" s="1213">
        <v>1</v>
      </c>
      <c r="K463" s="1213">
        <v>0.15</v>
      </c>
      <c r="L463" s="1213">
        <f>'[2]3.Hd'!$E$403</f>
        <v>1.6960999999999999</v>
      </c>
      <c r="M463" s="1213">
        <f t="shared" si="67"/>
        <v>1.08126375</v>
      </c>
      <c r="N463" s="14"/>
      <c r="O463" s="14"/>
      <c r="P463" s="14"/>
      <c r="Q463" s="1681"/>
      <c r="R463" s="1683"/>
      <c r="S463" s="1670"/>
      <c r="T463" s="1199" t="s">
        <v>212</v>
      </c>
      <c r="U463" s="1198">
        <v>0.67</v>
      </c>
      <c r="V463" s="1198">
        <v>0.75</v>
      </c>
      <c r="W463" s="1198">
        <v>0.75</v>
      </c>
      <c r="X463" s="1198">
        <v>1</v>
      </c>
      <c r="Y463" s="1198">
        <v>0.15</v>
      </c>
      <c r="Z463" s="1198">
        <f>'[2]3.Hd'!$E$403</f>
        <v>1.6960999999999999</v>
      </c>
      <c r="AA463" s="1198">
        <f t="shared" si="66"/>
        <v>1.08126375</v>
      </c>
      <c r="AB463" s="145"/>
      <c r="AC463" s="145"/>
      <c r="AD463" s="145"/>
      <c r="AE463" s="145"/>
      <c r="AF463" s="17"/>
      <c r="AG463" s="41"/>
      <c r="CD463" s="9"/>
      <c r="CE463" s="9"/>
      <c r="CF463" s="9"/>
      <c r="CG463" s="9"/>
      <c r="CH463" s="9"/>
      <c r="CI463" s="9"/>
      <c r="CJ463" s="9"/>
      <c r="CK463" s="9"/>
      <c r="CL463" s="9"/>
      <c r="CM463" s="9"/>
      <c r="CN463" s="9"/>
      <c r="CO463" s="9"/>
      <c r="CP463" s="9"/>
      <c r="CQ463" s="9"/>
      <c r="CR463" s="9"/>
      <c r="CS463" s="9"/>
      <c r="CT463" s="9"/>
      <c r="CU463" s="9"/>
      <c r="CV463" s="9"/>
      <c r="CW463" s="9"/>
      <c r="CX463" s="9"/>
      <c r="CY463" s="9"/>
      <c r="CZ463" s="9"/>
    </row>
    <row r="464" spans="2:104">
      <c r="B464" s="14"/>
      <c r="C464" s="1662"/>
      <c r="D464" s="1661"/>
      <c r="E464" s="1679"/>
      <c r="F464" s="1214" t="s">
        <v>212</v>
      </c>
      <c r="G464" s="1213">
        <v>0.67</v>
      </c>
      <c r="H464" s="1213">
        <v>0.75</v>
      </c>
      <c r="I464" s="1213">
        <v>0.75</v>
      </c>
      <c r="J464" s="1213">
        <v>1</v>
      </c>
      <c r="K464" s="1213">
        <v>0.15</v>
      </c>
      <c r="L464" s="1213">
        <f>'[2]3.Hd'!$E$403</f>
        <v>1.6960999999999999</v>
      </c>
      <c r="M464" s="1213">
        <f t="shared" si="67"/>
        <v>1.08126375</v>
      </c>
      <c r="N464" s="14"/>
      <c r="O464" s="14"/>
      <c r="P464" s="14"/>
      <c r="Q464" s="1681"/>
      <c r="R464" s="1683"/>
      <c r="S464" s="1670"/>
      <c r="T464" s="1199" t="s">
        <v>213</v>
      </c>
      <c r="U464" s="1198">
        <v>0.6</v>
      </c>
      <c r="V464" s="1198">
        <v>0.75</v>
      </c>
      <c r="W464" s="1198">
        <v>0.75</v>
      </c>
      <c r="X464" s="1198">
        <v>1</v>
      </c>
      <c r="Y464" s="1198">
        <v>0.15</v>
      </c>
      <c r="Z464" s="1198">
        <f>'[2]3.Hd'!$E$403</f>
        <v>1.6960999999999999</v>
      </c>
      <c r="AA464" s="1198">
        <f t="shared" si="66"/>
        <v>1.08126375</v>
      </c>
      <c r="AB464" s="145"/>
      <c r="AC464" s="145"/>
      <c r="AD464" s="145"/>
      <c r="AE464" s="145"/>
      <c r="AF464" s="17"/>
      <c r="AG464" s="41"/>
      <c r="BS464" s="16"/>
      <c r="CD464" s="9"/>
      <c r="CE464" s="9"/>
      <c r="CF464" s="9"/>
      <c r="CG464" s="9"/>
      <c r="CH464" s="9"/>
      <c r="CI464" s="9"/>
      <c r="CJ464" s="9"/>
      <c r="CK464" s="9"/>
      <c r="CL464" s="9"/>
      <c r="CM464" s="9"/>
      <c r="CN464" s="9"/>
      <c r="CO464" s="9"/>
      <c r="CP464" s="9"/>
      <c r="CQ464" s="9"/>
      <c r="CR464" s="9"/>
      <c r="CS464" s="9"/>
      <c r="CT464" s="9"/>
      <c r="CU464" s="9"/>
      <c r="CV464" s="9"/>
      <c r="CW464" s="9"/>
      <c r="CX464" s="9"/>
      <c r="CY464" s="9"/>
      <c r="CZ464" s="9"/>
    </row>
    <row r="465" spans="1:104">
      <c r="C465" s="1662"/>
      <c r="D465" s="1661"/>
      <c r="E465" s="1679"/>
      <c r="F465" s="1214" t="s">
        <v>213</v>
      </c>
      <c r="G465" s="1213">
        <v>0.6</v>
      </c>
      <c r="H465" s="1213">
        <v>0.75</v>
      </c>
      <c r="I465" s="1213">
        <v>0.75</v>
      </c>
      <c r="J465" s="1213">
        <v>1</v>
      </c>
      <c r="K465" s="1213">
        <v>0.15</v>
      </c>
      <c r="L465" s="1213">
        <f>'[2]3.Hd'!$E$403</f>
        <v>1.6960999999999999</v>
      </c>
      <c r="M465" s="1213">
        <f t="shared" si="67"/>
        <v>1.08126375</v>
      </c>
      <c r="Q465" s="1681"/>
      <c r="R465" s="1683"/>
      <c r="S465" s="1670"/>
      <c r="T465" s="1199" t="s">
        <v>214</v>
      </c>
      <c r="U465" s="1198">
        <v>0.3</v>
      </c>
      <c r="V465" s="1198">
        <v>0.75</v>
      </c>
      <c r="W465" s="1198">
        <v>0.75</v>
      </c>
      <c r="X465" s="1198">
        <v>0.99999999999999989</v>
      </c>
      <c r="Y465" s="1198">
        <v>0.15</v>
      </c>
      <c r="Z465" s="1198">
        <f>'[2]3.Hd'!$E$403</f>
        <v>1.6960999999999999</v>
      </c>
      <c r="AA465" s="1198">
        <f t="shared" si="66"/>
        <v>1.0812637499999997</v>
      </c>
      <c r="AB465" s="9"/>
      <c r="AC465" s="9"/>
      <c r="AD465" s="9"/>
      <c r="AE465" s="9"/>
      <c r="CD465" s="9"/>
      <c r="CE465" s="9"/>
      <c r="CF465" s="9"/>
      <c r="CG465" s="9"/>
      <c r="CH465" s="9"/>
      <c r="CI465" s="9"/>
      <c r="CJ465" s="9"/>
      <c r="CK465" s="9"/>
      <c r="CL465" s="9"/>
      <c r="CM465" s="9"/>
      <c r="CN465" s="9"/>
      <c r="CO465" s="9"/>
      <c r="CP465" s="9"/>
      <c r="CQ465" s="9"/>
      <c r="CR465" s="9"/>
      <c r="CS465" s="9"/>
      <c r="CT465" s="9"/>
      <c r="CU465" s="9"/>
      <c r="CV465" s="9"/>
      <c r="CW465" s="9"/>
      <c r="CX465" s="9"/>
      <c r="CY465" s="9"/>
      <c r="CZ465" s="9"/>
    </row>
    <row r="466" spans="1:104">
      <c r="C466" s="1662"/>
      <c r="D466" s="1661"/>
      <c r="E466" s="1679"/>
      <c r="F466" s="1214" t="s">
        <v>214</v>
      </c>
      <c r="G466" s="1213">
        <v>0.3</v>
      </c>
      <c r="H466" s="1213">
        <v>0.75</v>
      </c>
      <c r="I466" s="1213">
        <v>0.75</v>
      </c>
      <c r="J466" s="1213">
        <v>0.99999999999999989</v>
      </c>
      <c r="K466" s="1213">
        <v>0.15</v>
      </c>
      <c r="L466" s="1213">
        <f>'[2]3.Hd'!$E$403</f>
        <v>1.6960999999999999</v>
      </c>
      <c r="M466" s="1213">
        <f t="shared" si="67"/>
        <v>1.0812637499999997</v>
      </c>
      <c r="Q466" s="1681"/>
      <c r="R466" s="1683"/>
      <c r="S466" s="1671"/>
      <c r="T466" s="1199" t="s">
        <v>215</v>
      </c>
      <c r="U466" s="1198">
        <v>0.42</v>
      </c>
      <c r="V466" s="1198">
        <v>0.75</v>
      </c>
      <c r="W466" s="1198">
        <v>0.75</v>
      </c>
      <c r="X466" s="1198">
        <v>1</v>
      </c>
      <c r="Y466" s="1198">
        <v>0.15</v>
      </c>
      <c r="Z466" s="1198">
        <f>'[2]3.Hd'!$E$403</f>
        <v>1.6960999999999999</v>
      </c>
      <c r="AA466" s="1198">
        <f t="shared" si="66"/>
        <v>1.08126375</v>
      </c>
      <c r="CD466" s="9"/>
      <c r="CE466" s="9"/>
      <c r="CF466" s="9"/>
      <c r="CG466" s="9"/>
      <c r="CH466" s="9"/>
      <c r="CI466" s="9"/>
      <c r="CJ466" s="9"/>
      <c r="CK466" s="9"/>
      <c r="CL466" s="9"/>
      <c r="CM466" s="9"/>
      <c r="CN466" s="9"/>
      <c r="CO466" s="9"/>
      <c r="CP466" s="9"/>
      <c r="CQ466" s="9"/>
      <c r="CR466" s="9"/>
      <c r="CS466" s="9"/>
      <c r="CT466" s="9"/>
      <c r="CU466" s="9"/>
      <c r="CV466" s="9"/>
      <c r="CW466" s="9"/>
      <c r="CX466" s="9"/>
      <c r="CY466" s="9"/>
      <c r="CZ466" s="9"/>
    </row>
    <row r="467" spans="1:104" ht="15" customHeight="1">
      <c r="C467" s="1662"/>
      <c r="D467" s="1661"/>
      <c r="E467" s="1679"/>
      <c r="F467" s="1214" t="s">
        <v>215</v>
      </c>
      <c r="G467" s="1213">
        <v>0.42</v>
      </c>
      <c r="H467" s="1213">
        <v>0.75</v>
      </c>
      <c r="I467" s="1213">
        <v>0.75</v>
      </c>
      <c r="J467" s="1213">
        <v>1</v>
      </c>
      <c r="K467" s="1213">
        <v>0.15</v>
      </c>
      <c r="L467" s="1213">
        <f>'[2]3.Hd'!$E$403</f>
        <v>1.6960999999999999</v>
      </c>
      <c r="M467" s="1213">
        <f t="shared" si="67"/>
        <v>1.08126375</v>
      </c>
      <c r="CD467" s="9"/>
      <c r="CE467" s="9"/>
      <c r="CF467" s="9"/>
      <c r="CG467" s="9"/>
      <c r="CH467" s="9"/>
      <c r="CI467" s="9"/>
      <c r="CJ467" s="9"/>
      <c r="CK467" s="9"/>
      <c r="CL467" s="9"/>
      <c r="CM467" s="9"/>
      <c r="CN467" s="9"/>
      <c r="CO467" s="9"/>
      <c r="CP467" s="9"/>
      <c r="CQ467" s="9"/>
      <c r="CR467" s="9"/>
      <c r="CS467" s="9"/>
      <c r="CT467" s="9"/>
      <c r="CU467" s="9"/>
      <c r="CV467" s="9"/>
      <c r="CW467" s="9"/>
      <c r="CX467" s="9"/>
      <c r="CY467" s="9"/>
      <c r="CZ467" s="9"/>
    </row>
    <row r="468" spans="1:104">
      <c r="BH468" s="1690" t="s">
        <v>894</v>
      </c>
      <c r="BI468" s="1690"/>
      <c r="BJ468" s="1690"/>
      <c r="BK468" s="1690"/>
      <c r="BL468" s="1690"/>
      <c r="BM468" s="1690"/>
      <c r="BN468" s="1690"/>
      <c r="BO468" s="1690"/>
      <c r="BP468" s="1690"/>
      <c r="BQ468" s="1690"/>
      <c r="BR468" s="1690"/>
      <c r="CD468" s="9"/>
      <c r="CE468" s="9"/>
      <c r="CF468" s="9"/>
      <c r="CG468" s="9"/>
      <c r="CH468" s="9"/>
      <c r="CI468" s="9"/>
      <c r="CJ468" s="9"/>
      <c r="CK468" s="9"/>
      <c r="CL468" s="9"/>
      <c r="CM468" s="9"/>
      <c r="CN468" s="9"/>
      <c r="CO468" s="9"/>
      <c r="CP468" s="9"/>
      <c r="CQ468" s="9"/>
      <c r="CR468" s="9"/>
      <c r="CS468" s="9"/>
      <c r="CT468" s="9"/>
      <c r="CU468" s="9"/>
      <c r="CV468" s="9"/>
      <c r="CW468" s="9"/>
      <c r="CX468" s="9"/>
      <c r="CY468" s="9"/>
      <c r="CZ468" s="9"/>
    </row>
    <row r="469" spans="1:104" ht="15" customHeight="1">
      <c r="A469" s="150" t="s">
        <v>0</v>
      </c>
      <c r="B469" s="881"/>
      <c r="C469" s="1402" t="str">
        <f>C1</f>
        <v>Calcolo semplificato del fabbisogno di un edificio</v>
      </c>
      <c r="D469" s="1403"/>
      <c r="E469" s="1403"/>
      <c r="F469" s="1404"/>
      <c r="G469" s="1508"/>
      <c r="H469" s="1402" t="s">
        <v>567</v>
      </c>
      <c r="I469" s="1403"/>
      <c r="J469" s="1403"/>
      <c r="K469" s="1403"/>
      <c r="L469" s="1404"/>
      <c r="M469" s="1352" t="s">
        <v>5</v>
      </c>
      <c r="N469" s="1353"/>
      <c r="O469" s="1352" t="s">
        <v>6</v>
      </c>
      <c r="P469" s="1353"/>
      <c r="BH469" s="1691"/>
      <c r="BI469" s="1691"/>
      <c r="BJ469" s="1691"/>
      <c r="BK469" s="1691"/>
      <c r="BL469" s="1691"/>
      <c r="BM469" s="1691"/>
      <c r="BN469" s="1691"/>
      <c r="BO469" s="1691"/>
      <c r="BP469" s="1691"/>
      <c r="BQ469" s="1691"/>
      <c r="BR469" s="1691"/>
      <c r="CD469" s="9"/>
      <c r="CE469" s="9"/>
      <c r="CF469" s="9"/>
      <c r="CG469" s="9"/>
      <c r="CH469" s="9"/>
      <c r="CI469" s="9"/>
      <c r="CJ469" s="9"/>
      <c r="CK469" s="9"/>
      <c r="CL469" s="9"/>
      <c r="CM469" s="9"/>
      <c r="CN469" s="9"/>
      <c r="CO469" s="9"/>
      <c r="CP469" s="9"/>
      <c r="CQ469" s="9"/>
      <c r="CR469" s="9"/>
      <c r="CS469" s="9"/>
      <c r="CT469" s="9"/>
      <c r="CU469" s="9"/>
      <c r="CV469" s="9"/>
      <c r="CW469" s="9"/>
      <c r="CX469" s="9"/>
      <c r="CY469" s="9"/>
      <c r="CZ469" s="9"/>
    </row>
    <row r="470" spans="1:104" ht="15" customHeight="1">
      <c r="A470" s="47">
        <v>7</v>
      </c>
      <c r="B470" s="882"/>
      <c r="C470" s="1511" t="s">
        <v>550</v>
      </c>
      <c r="D470" s="1512"/>
      <c r="E470" s="1512"/>
      <c r="F470" s="1513"/>
      <c r="G470" s="1509"/>
      <c r="H470" s="1414" t="s">
        <v>568</v>
      </c>
      <c r="I470" s="1415"/>
      <c r="J470" s="1415"/>
      <c r="K470" s="1415"/>
      <c r="L470" s="1416"/>
      <c r="M470" s="1391">
        <f>'1.Dati'!L2:M2</f>
        <v>0</v>
      </c>
      <c r="N470" s="1392"/>
      <c r="O470" s="1391" t="str">
        <f>O304</f>
        <v>X</v>
      </c>
      <c r="P470" s="1392"/>
      <c r="BH470" s="1675" t="s">
        <v>895</v>
      </c>
      <c r="BI470" s="1676" t="s">
        <v>16</v>
      </c>
      <c r="BJ470" s="1677" t="s">
        <v>896</v>
      </c>
      <c r="BK470" s="1653" t="s">
        <v>24</v>
      </c>
      <c r="BL470" s="89" t="s">
        <v>319</v>
      </c>
      <c r="BM470" s="89" t="s">
        <v>320</v>
      </c>
      <c r="BN470" s="89" t="s">
        <v>321</v>
      </c>
      <c r="BO470" s="89" t="s">
        <v>322</v>
      </c>
      <c r="BP470" s="89" t="s">
        <v>323</v>
      </c>
      <c r="BQ470" s="89" t="s">
        <v>324</v>
      </c>
      <c r="BR470" s="518" t="s">
        <v>311</v>
      </c>
      <c r="CD470" s="9"/>
      <c r="CE470" s="9"/>
      <c r="CF470" s="9"/>
      <c r="CG470" s="9"/>
      <c r="CH470" s="9"/>
      <c r="CI470" s="9"/>
      <c r="CJ470" s="9"/>
      <c r="CK470" s="9"/>
      <c r="CL470" s="9"/>
      <c r="CM470" s="9"/>
      <c r="CN470" s="9"/>
      <c r="CO470" s="9"/>
      <c r="CP470" s="9"/>
      <c r="CQ470" s="9"/>
      <c r="CR470" s="9"/>
      <c r="CS470" s="9"/>
      <c r="CT470" s="9"/>
      <c r="CU470" s="9"/>
      <c r="CV470" s="9"/>
      <c r="CW470" s="9"/>
      <c r="CX470" s="9"/>
      <c r="CY470" s="9"/>
      <c r="CZ470" s="9"/>
    </row>
    <row r="471" spans="1:104" ht="15" customHeight="1">
      <c r="A471" s="48" t="s">
        <v>65</v>
      </c>
      <c r="B471" s="883"/>
      <c r="C471" s="1514" t="s">
        <v>551</v>
      </c>
      <c r="D471" s="1515"/>
      <c r="E471" s="1515"/>
      <c r="F471" s="1516"/>
      <c r="G471" s="1510"/>
      <c r="H471" s="1354">
        <f>'1.Dati'!G3:K3</f>
        <v>0</v>
      </c>
      <c r="I471" s="1355"/>
      <c r="J471" s="1355"/>
      <c r="K471" s="1355"/>
      <c r="L471" s="1356"/>
      <c r="M471" s="1357" t="s">
        <v>1028</v>
      </c>
      <c r="N471" s="1358"/>
      <c r="O471" s="1357" t="str">
        <f>O305</f>
        <v>Y</v>
      </c>
      <c r="P471" s="1358"/>
      <c r="BH471" s="1675"/>
      <c r="BI471" s="1676"/>
      <c r="BJ471" s="1677"/>
      <c r="BK471" s="1654"/>
      <c r="BL471" s="115" t="s">
        <v>24</v>
      </c>
      <c r="BM471" s="115" t="s">
        <v>24</v>
      </c>
      <c r="BN471" s="115" t="s">
        <v>24</v>
      </c>
      <c r="BO471" s="115" t="s">
        <v>24</v>
      </c>
      <c r="BP471" s="115" t="s">
        <v>24</v>
      </c>
      <c r="BQ471" s="92" t="s">
        <v>32</v>
      </c>
      <c r="BR471" s="519" t="s">
        <v>32</v>
      </c>
      <c r="CD471" s="9"/>
      <c r="CE471" s="9"/>
      <c r="CF471" s="9"/>
      <c r="CG471" s="9"/>
      <c r="CH471" s="9"/>
      <c r="CI471" s="9"/>
      <c r="CJ471" s="9"/>
      <c r="CK471" s="9"/>
      <c r="CL471" s="9"/>
      <c r="CM471" s="9"/>
      <c r="CN471" s="9"/>
      <c r="CO471" s="9"/>
      <c r="CP471" s="9"/>
      <c r="CQ471" s="9"/>
      <c r="CR471" s="9"/>
      <c r="CS471" s="9"/>
      <c r="CT471" s="9"/>
      <c r="CU471" s="9"/>
      <c r="CV471" s="9"/>
      <c r="CW471" s="9"/>
      <c r="CX471" s="9"/>
      <c r="CY471" s="9"/>
      <c r="CZ471" s="9"/>
    </row>
    <row r="472" spans="1:104" ht="15" customHeight="1">
      <c r="BH472" s="1675"/>
      <c r="BI472" s="1676"/>
      <c r="BJ472" s="1677"/>
      <c r="BK472" s="1196" t="s">
        <v>204</v>
      </c>
      <c r="BL472" s="1195">
        <v>0.39</v>
      </c>
      <c r="BM472" s="1195">
        <v>0.75</v>
      </c>
      <c r="BN472" s="1195">
        <v>0.75</v>
      </c>
      <c r="BO472" s="1195">
        <v>1</v>
      </c>
      <c r="BP472" s="1195">
        <v>0.15</v>
      </c>
      <c r="BQ472" s="1195">
        <f>0.8*0.4</f>
        <v>0.32000000000000006</v>
      </c>
      <c r="BR472" s="512">
        <f t="shared" ref="BR472:BR483" si="68">BO472*BM472*(1-BP472)*BQ472</f>
        <v>0.20400000000000001</v>
      </c>
      <c r="CD472" s="9"/>
      <c r="CE472" s="9"/>
      <c r="CF472" s="9"/>
      <c r="CG472" s="9"/>
      <c r="CH472" s="9"/>
      <c r="CI472" s="9"/>
      <c r="CJ472" s="9"/>
      <c r="CK472" s="9"/>
      <c r="CL472" s="9"/>
      <c r="CM472" s="9"/>
      <c r="CN472" s="9"/>
      <c r="CO472" s="9"/>
      <c r="CP472" s="9"/>
      <c r="CQ472" s="9"/>
      <c r="CR472" s="9"/>
      <c r="CS472" s="9"/>
      <c r="CT472" s="9"/>
      <c r="CU472" s="9"/>
      <c r="CV472" s="9"/>
      <c r="CW472" s="9"/>
      <c r="CX472" s="9"/>
      <c r="CY472" s="9"/>
      <c r="CZ472" s="9"/>
    </row>
    <row r="473" spans="1:104" ht="16">
      <c r="A473" s="1600" t="s">
        <v>654</v>
      </c>
      <c r="B473" s="1600"/>
      <c r="C473" s="1600"/>
      <c r="D473" s="1600"/>
      <c r="E473" s="1600"/>
      <c r="F473" s="1600"/>
      <c r="G473" s="1600"/>
      <c r="H473" s="1600"/>
      <c r="I473" s="1600"/>
      <c r="J473" s="1600"/>
      <c r="K473" s="1600"/>
      <c r="L473" s="1600"/>
      <c r="M473" s="1600"/>
      <c r="N473" s="1600"/>
      <c r="O473" s="1600"/>
      <c r="P473" s="1600"/>
      <c r="BH473" s="1675"/>
      <c r="BI473" s="1676"/>
      <c r="BJ473" s="1677"/>
      <c r="BK473" s="1196" t="s">
        <v>205</v>
      </c>
      <c r="BL473" s="1195">
        <v>0.55000000000000004</v>
      </c>
      <c r="BM473" s="1195">
        <v>0.75</v>
      </c>
      <c r="BN473" s="1195">
        <v>0.75</v>
      </c>
      <c r="BO473" s="1195">
        <v>1</v>
      </c>
      <c r="BP473" s="1195">
        <v>0.15</v>
      </c>
      <c r="BQ473" s="1195">
        <f t="shared" ref="BQ473:BQ483" si="69">0.8*0.4</f>
        <v>0.32000000000000006</v>
      </c>
      <c r="BR473" s="512">
        <f t="shared" si="68"/>
        <v>0.20400000000000001</v>
      </c>
      <c r="CD473" s="9"/>
      <c r="CE473" s="9"/>
      <c r="CF473" s="9"/>
      <c r="CG473" s="9"/>
      <c r="CH473" s="9"/>
      <c r="CI473" s="9"/>
      <c r="CJ473" s="9"/>
      <c r="CK473" s="9"/>
      <c r="CL473" s="9"/>
      <c r="CM473" s="9"/>
      <c r="CN473" s="9"/>
      <c r="CO473" s="9"/>
      <c r="CP473" s="9"/>
      <c r="CQ473" s="9"/>
      <c r="CR473" s="9"/>
      <c r="CS473" s="9"/>
      <c r="CT473" s="9"/>
      <c r="CU473" s="9"/>
      <c r="CV473" s="9"/>
      <c r="CW473" s="9"/>
      <c r="CX473" s="9"/>
      <c r="CY473" s="9"/>
      <c r="CZ473" s="9"/>
    </row>
    <row r="474" spans="1:104">
      <c r="R474" s="9"/>
      <c r="BH474" s="1675"/>
      <c r="BI474" s="1676"/>
      <c r="BJ474" s="1677"/>
      <c r="BK474" s="1196" t="s">
        <v>206</v>
      </c>
      <c r="BL474" s="1195">
        <v>0.63</v>
      </c>
      <c r="BM474" s="1195">
        <v>0.75</v>
      </c>
      <c r="BN474" s="1195">
        <v>0.75</v>
      </c>
      <c r="BO474" s="1195">
        <v>1</v>
      </c>
      <c r="BP474" s="1195">
        <v>0.15</v>
      </c>
      <c r="BQ474" s="1195">
        <f t="shared" si="69"/>
        <v>0.32000000000000006</v>
      </c>
      <c r="BR474" s="512">
        <f t="shared" si="68"/>
        <v>0.20400000000000001</v>
      </c>
      <c r="CD474" s="9"/>
      <c r="CE474" s="9"/>
      <c r="CF474" s="9"/>
      <c r="CG474" s="9"/>
      <c r="CH474" s="9"/>
      <c r="CI474" s="9"/>
      <c r="CJ474" s="9"/>
      <c r="CK474" s="9"/>
      <c r="CL474" s="9"/>
      <c r="CM474" s="9"/>
      <c r="CN474" s="9"/>
      <c r="CO474" s="9"/>
      <c r="CP474" s="9"/>
      <c r="CQ474" s="9"/>
      <c r="CR474" s="9"/>
      <c r="CS474" s="9"/>
      <c r="CT474" s="9"/>
      <c r="CU474" s="9"/>
      <c r="CV474" s="9"/>
      <c r="CW474" s="9"/>
      <c r="CX474" s="9"/>
      <c r="CY474" s="9"/>
      <c r="CZ474" s="9"/>
    </row>
    <row r="475" spans="1:104">
      <c r="BH475" s="1675"/>
      <c r="BI475" s="1676"/>
      <c r="BJ475" s="1677"/>
      <c r="BK475" s="1196" t="s">
        <v>207</v>
      </c>
      <c r="BL475" s="1195">
        <v>0.62</v>
      </c>
      <c r="BM475" s="1195">
        <v>0.75</v>
      </c>
      <c r="BN475" s="1195">
        <v>0.75</v>
      </c>
      <c r="BO475" s="1195">
        <v>1</v>
      </c>
      <c r="BP475" s="1195">
        <v>0.15</v>
      </c>
      <c r="BQ475" s="1195">
        <f t="shared" si="69"/>
        <v>0.32000000000000006</v>
      </c>
      <c r="BR475" s="512">
        <f t="shared" si="68"/>
        <v>0.20400000000000001</v>
      </c>
      <c r="CD475" s="9"/>
      <c r="CE475" s="9"/>
      <c r="CF475" s="9"/>
      <c r="CG475" s="9"/>
      <c r="CH475" s="9"/>
      <c r="CI475" s="9"/>
      <c r="CJ475" s="9"/>
      <c r="CK475" s="9"/>
      <c r="CL475" s="9"/>
      <c r="CM475" s="9"/>
      <c r="CN475" s="9"/>
      <c r="CO475" s="9"/>
      <c r="CP475" s="9"/>
      <c r="CQ475" s="9"/>
      <c r="CR475" s="9"/>
      <c r="CS475" s="9"/>
      <c r="CT475" s="9"/>
      <c r="CU475" s="9"/>
      <c r="CV475" s="9"/>
      <c r="CW475" s="9"/>
      <c r="CX475" s="9"/>
      <c r="CY475" s="9"/>
      <c r="CZ475" s="9"/>
    </row>
    <row r="476" spans="1:104">
      <c r="BH476" s="1675"/>
      <c r="BI476" s="1676"/>
      <c r="BJ476" s="1677"/>
      <c r="BK476" s="1196" t="s">
        <v>208</v>
      </c>
      <c r="BL476" s="1195">
        <v>0.64</v>
      </c>
      <c r="BM476" s="1195">
        <v>0.75</v>
      </c>
      <c r="BN476" s="1195">
        <v>0.75</v>
      </c>
      <c r="BO476" s="1195">
        <v>1</v>
      </c>
      <c r="BP476" s="1195">
        <v>0.15</v>
      </c>
      <c r="BQ476" s="1195">
        <f t="shared" si="69"/>
        <v>0.32000000000000006</v>
      </c>
      <c r="BR476" s="512">
        <f t="shared" si="68"/>
        <v>0.20400000000000001</v>
      </c>
      <c r="CD476" s="9"/>
      <c r="CE476" s="9"/>
      <c r="CF476" s="9"/>
      <c r="CG476" s="9"/>
      <c r="CH476" s="9"/>
      <c r="CI476" s="9"/>
      <c r="CJ476" s="9"/>
      <c r="CK476" s="9"/>
      <c r="CL476" s="9"/>
      <c r="CM476" s="9"/>
      <c r="CN476" s="9"/>
      <c r="CO476" s="9"/>
      <c r="CP476" s="9"/>
      <c r="CQ476" s="9"/>
      <c r="CR476" s="9"/>
      <c r="CS476" s="9"/>
      <c r="CT476" s="9"/>
      <c r="CU476" s="9"/>
      <c r="CV476" s="9"/>
      <c r="CW476" s="9"/>
      <c r="CX476" s="9"/>
      <c r="CY476" s="9"/>
      <c r="CZ476" s="9"/>
    </row>
    <row r="477" spans="1:104">
      <c r="S477" s="893"/>
      <c r="T477" s="893"/>
      <c r="U477" s="893"/>
      <c r="V477" s="893"/>
      <c r="BH477" s="1675"/>
      <c r="BI477" s="1676"/>
      <c r="BJ477" s="1677"/>
      <c r="BK477" s="1196" t="s">
        <v>209</v>
      </c>
      <c r="BL477" s="1195">
        <v>0.68</v>
      </c>
      <c r="BM477" s="1195">
        <v>0.75</v>
      </c>
      <c r="BN477" s="1195">
        <v>0.75</v>
      </c>
      <c r="BO477" s="1195">
        <v>1</v>
      </c>
      <c r="BP477" s="1195">
        <v>0.15</v>
      </c>
      <c r="BQ477" s="1195">
        <f t="shared" si="69"/>
        <v>0.32000000000000006</v>
      </c>
      <c r="BR477" s="512">
        <f t="shared" si="68"/>
        <v>0.20400000000000001</v>
      </c>
    </row>
    <row r="478" spans="1:104">
      <c r="S478" s="893"/>
      <c r="T478" s="893"/>
      <c r="U478" s="893"/>
      <c r="V478" s="893"/>
      <c r="BH478" s="1675"/>
      <c r="BI478" s="1676"/>
      <c r="BJ478" s="1677"/>
      <c r="BK478" s="1196" t="s">
        <v>210</v>
      </c>
      <c r="BL478" s="1195">
        <v>0.73</v>
      </c>
      <c r="BM478" s="1195">
        <v>0.75</v>
      </c>
      <c r="BN478" s="1195">
        <v>0.75</v>
      </c>
      <c r="BO478" s="1195">
        <v>1</v>
      </c>
      <c r="BP478" s="1195">
        <v>0.15</v>
      </c>
      <c r="BQ478" s="1195">
        <f t="shared" si="69"/>
        <v>0.32000000000000006</v>
      </c>
      <c r="BR478" s="512">
        <f t="shared" si="68"/>
        <v>0.20400000000000001</v>
      </c>
    </row>
    <row r="479" spans="1:104">
      <c r="S479" s="893"/>
      <c r="T479" s="893"/>
      <c r="U479" s="893"/>
      <c r="V479" s="893"/>
      <c r="BH479" s="1675"/>
      <c r="BI479" s="1676"/>
      <c r="BJ479" s="1677"/>
      <c r="BK479" s="1196" t="s">
        <v>211</v>
      </c>
      <c r="BL479" s="1195">
        <v>0.72</v>
      </c>
      <c r="BM479" s="1195">
        <v>0.75</v>
      </c>
      <c r="BN479" s="1195">
        <v>0.75</v>
      </c>
      <c r="BO479" s="1195">
        <v>1</v>
      </c>
      <c r="BP479" s="1195">
        <v>0.15</v>
      </c>
      <c r="BQ479" s="1195">
        <f t="shared" si="69"/>
        <v>0.32000000000000006</v>
      </c>
      <c r="BR479" s="512">
        <f t="shared" si="68"/>
        <v>0.20400000000000001</v>
      </c>
    </row>
    <row r="480" spans="1:104">
      <c r="BH480" s="1675"/>
      <c r="BI480" s="1676"/>
      <c r="BJ480" s="1677"/>
      <c r="BK480" s="1196" t="s">
        <v>212</v>
      </c>
      <c r="BL480" s="1195">
        <v>0.67</v>
      </c>
      <c r="BM480" s="1195">
        <v>0.75</v>
      </c>
      <c r="BN480" s="1195">
        <v>0.75</v>
      </c>
      <c r="BO480" s="1195">
        <v>1</v>
      </c>
      <c r="BP480" s="1195">
        <v>0.15</v>
      </c>
      <c r="BQ480" s="1195">
        <f t="shared" si="69"/>
        <v>0.32000000000000006</v>
      </c>
      <c r="BR480" s="512">
        <f t="shared" si="68"/>
        <v>0.20400000000000001</v>
      </c>
    </row>
    <row r="481" spans="1:70">
      <c r="BH481" s="1675"/>
      <c r="BI481" s="1676"/>
      <c r="BJ481" s="1677"/>
      <c r="BK481" s="1196" t="s">
        <v>213</v>
      </c>
      <c r="BL481" s="1195">
        <v>0.6</v>
      </c>
      <c r="BM481" s="1195">
        <v>0.75</v>
      </c>
      <c r="BN481" s="1195">
        <v>0.75</v>
      </c>
      <c r="BO481" s="1195">
        <v>1</v>
      </c>
      <c r="BP481" s="1195">
        <v>0.15</v>
      </c>
      <c r="BQ481" s="1195">
        <f t="shared" si="69"/>
        <v>0.32000000000000006</v>
      </c>
      <c r="BR481" s="512">
        <f t="shared" si="68"/>
        <v>0.20400000000000001</v>
      </c>
    </row>
    <row r="482" spans="1:70">
      <c r="BH482" s="1675"/>
      <c r="BI482" s="1676"/>
      <c r="BJ482" s="1677"/>
      <c r="BK482" s="1196" t="s">
        <v>214</v>
      </c>
      <c r="BL482" s="1195">
        <v>0.3</v>
      </c>
      <c r="BM482" s="1195">
        <v>0.75</v>
      </c>
      <c r="BN482" s="1195">
        <v>0.75</v>
      </c>
      <c r="BO482" s="1195">
        <v>0.99999999999999989</v>
      </c>
      <c r="BP482" s="1195">
        <v>0.15</v>
      </c>
      <c r="BQ482" s="1195">
        <f t="shared" si="69"/>
        <v>0.32000000000000006</v>
      </c>
      <c r="BR482" s="512">
        <f t="shared" si="68"/>
        <v>0.20399999999999999</v>
      </c>
    </row>
    <row r="483" spans="1:70">
      <c r="BH483" s="1675"/>
      <c r="BI483" s="1676"/>
      <c r="BJ483" s="1677"/>
      <c r="BK483" s="1196" t="s">
        <v>215</v>
      </c>
      <c r="BL483" s="1195">
        <v>0.42</v>
      </c>
      <c r="BM483" s="1195">
        <v>0.75</v>
      </c>
      <c r="BN483" s="1195">
        <v>0.75</v>
      </c>
      <c r="BO483" s="1195">
        <v>1</v>
      </c>
      <c r="BP483" s="1195">
        <v>0.15</v>
      </c>
      <c r="BQ483" s="1195">
        <f t="shared" si="69"/>
        <v>0.32000000000000006</v>
      </c>
      <c r="BR483" s="512">
        <f t="shared" si="68"/>
        <v>0.20400000000000001</v>
      </c>
    </row>
    <row r="485" spans="1:70">
      <c r="R485" s="9"/>
    </row>
    <row r="489" spans="1:70">
      <c r="R489" s="9"/>
    </row>
    <row r="493" spans="1:70">
      <c r="A493" s="514"/>
      <c r="B493" s="514"/>
      <c r="C493" s="145"/>
      <c r="D493" s="145"/>
      <c r="E493" s="145"/>
      <c r="F493" s="145"/>
      <c r="G493" s="145"/>
      <c r="H493" s="145"/>
      <c r="I493" s="145"/>
      <c r="J493" s="145"/>
      <c r="K493" s="14"/>
      <c r="L493" s="14"/>
      <c r="M493" s="14"/>
      <c r="N493" s="14"/>
      <c r="O493" s="14"/>
      <c r="P493" s="14"/>
    </row>
    <row r="497" spans="3:16" ht="23.25" customHeight="1"/>
    <row r="498" spans="3:16" ht="15" customHeight="1"/>
    <row r="500" spans="3:16" ht="16" thickBot="1"/>
    <row r="501" spans="3:16" ht="16" thickBot="1">
      <c r="C501" s="1720" t="s">
        <v>331</v>
      </c>
      <c r="D501" s="1076" t="s">
        <v>880</v>
      </c>
      <c r="E501" s="862"/>
      <c r="F501" s="862"/>
      <c r="G501" s="1078"/>
      <c r="H501" s="1079"/>
      <c r="J501" s="1720" t="s">
        <v>331</v>
      </c>
      <c r="K501" s="1070" t="s">
        <v>881</v>
      </c>
      <c r="L501" s="1071"/>
      <c r="M501" s="1071"/>
      <c r="N501" s="1078"/>
      <c r="O501" s="1079"/>
      <c r="P501" s="1077" t="s">
        <v>575</v>
      </c>
    </row>
    <row r="502" spans="3:16">
      <c r="C502" s="1721"/>
      <c r="D502" s="867" t="s">
        <v>326</v>
      </c>
      <c r="E502" s="863"/>
      <c r="F502" s="516">
        <v>39.130000000000003</v>
      </c>
      <c r="G502" s="1073"/>
      <c r="H502" s="1080"/>
      <c r="J502" s="1721"/>
      <c r="K502" s="1072" t="s">
        <v>326</v>
      </c>
      <c r="L502" s="1073"/>
      <c r="M502" s="516">
        <f>F502</f>
        <v>39.130000000000003</v>
      </c>
      <c r="N502" s="1073"/>
      <c r="O502" s="1080"/>
    </row>
    <row r="503" spans="3:16" ht="15" customHeight="1">
      <c r="C503" s="1721"/>
      <c r="D503" s="867" t="s">
        <v>327</v>
      </c>
      <c r="E503" s="863"/>
      <c r="F503" s="516">
        <v>9.07</v>
      </c>
      <c r="G503" s="1075"/>
      <c r="H503" s="1081"/>
      <c r="J503" s="1721"/>
      <c r="K503" s="1074" t="s">
        <v>327</v>
      </c>
      <c r="L503" s="1075"/>
      <c r="M503" s="516">
        <f>F503</f>
        <v>9.07</v>
      </c>
      <c r="N503" s="1075"/>
      <c r="O503" s="1081"/>
    </row>
    <row r="504" spans="3:16" ht="15" customHeight="1">
      <c r="C504" s="1721"/>
      <c r="D504" s="98" t="s">
        <v>200</v>
      </c>
      <c r="E504" s="98" t="s">
        <v>328</v>
      </c>
      <c r="F504" s="517" t="s">
        <v>203</v>
      </c>
      <c r="G504" s="98" t="s">
        <v>878</v>
      </c>
      <c r="H504" s="98" t="s">
        <v>879</v>
      </c>
      <c r="J504" s="1721"/>
      <c r="K504" s="520" t="s">
        <v>200</v>
      </c>
      <c r="L504" s="98" t="s">
        <v>328</v>
      </c>
      <c r="M504" s="98" t="s">
        <v>203</v>
      </c>
      <c r="N504" s="98" t="s">
        <v>878</v>
      </c>
      <c r="O504" s="98" t="s">
        <v>879</v>
      </c>
    </row>
    <row r="505" spans="3:16" ht="15" customHeight="1">
      <c r="C505" s="1721"/>
      <c r="D505" s="89" t="s">
        <v>329</v>
      </c>
      <c r="E505" s="89" t="s">
        <v>329</v>
      </c>
      <c r="F505" s="518" t="s">
        <v>329</v>
      </c>
      <c r="G505" s="89" t="s">
        <v>329</v>
      </c>
      <c r="H505" s="89" t="s">
        <v>329</v>
      </c>
      <c r="J505" s="1721"/>
      <c r="K505" s="88" t="s">
        <v>329</v>
      </c>
      <c r="L505" s="89" t="s">
        <v>329</v>
      </c>
      <c r="M505" s="89" t="s">
        <v>329</v>
      </c>
      <c r="N505" s="89" t="s">
        <v>329</v>
      </c>
      <c r="O505" s="89" t="s">
        <v>329</v>
      </c>
    </row>
    <row r="506" spans="3:16">
      <c r="C506" s="1722"/>
      <c r="D506" s="92" t="s">
        <v>330</v>
      </c>
      <c r="E506" s="92" t="s">
        <v>330</v>
      </c>
      <c r="F506" s="519" t="s">
        <v>330</v>
      </c>
      <c r="G506" s="92" t="s">
        <v>330</v>
      </c>
      <c r="H506" s="92" t="s">
        <v>330</v>
      </c>
      <c r="J506" s="1722"/>
      <c r="K506" s="91" t="s">
        <v>645</v>
      </c>
      <c r="L506" s="92" t="s">
        <v>645</v>
      </c>
      <c r="M506" s="92" t="s">
        <v>645</v>
      </c>
      <c r="N506" s="92" t="s">
        <v>645</v>
      </c>
      <c r="O506" s="92" t="s">
        <v>645</v>
      </c>
    </row>
    <row r="507" spans="3:16">
      <c r="C507" s="100" t="s">
        <v>204</v>
      </c>
      <c r="D507" s="167">
        <v>11.5</v>
      </c>
      <c r="E507" s="167">
        <v>5.6</v>
      </c>
      <c r="F507" s="167">
        <v>2.2999999999999998</v>
      </c>
      <c r="G507" s="29">
        <v>9.1999999999999993</v>
      </c>
      <c r="H507" s="130">
        <v>2.7</v>
      </c>
      <c r="J507" s="504" t="s">
        <v>204</v>
      </c>
      <c r="K507" s="503">
        <f>(D507*(1000/3.6))/1000</f>
        <v>3.1944444444444442</v>
      </c>
      <c r="L507" s="503">
        <f>(E507*(1000/3.6))/1000</f>
        <v>1.5555555555555554</v>
      </c>
      <c r="M507" s="503">
        <f>(F507*(1000/3.6))/1000</f>
        <v>0.63888888888888884</v>
      </c>
      <c r="N507" s="503">
        <f t="shared" ref="N507:O507" si="70">(G507*(1000/3.6))/1000</f>
        <v>2.5555555555555554</v>
      </c>
      <c r="O507" s="503">
        <f t="shared" si="70"/>
        <v>0.75</v>
      </c>
    </row>
    <row r="508" spans="3:16">
      <c r="C508" s="100" t="s">
        <v>205</v>
      </c>
      <c r="D508" s="167">
        <v>11.8</v>
      </c>
      <c r="E508" s="167">
        <v>7.1</v>
      </c>
      <c r="F508" s="167">
        <v>3.1</v>
      </c>
      <c r="G508" s="29">
        <v>10.1</v>
      </c>
      <c r="H508" s="130">
        <v>3.9</v>
      </c>
      <c r="J508" s="504" t="s">
        <v>205</v>
      </c>
      <c r="K508" s="503">
        <f t="shared" ref="K508:K518" si="71">(D508*(1000/3.6))/1000</f>
        <v>3.2777777777777777</v>
      </c>
      <c r="L508" s="503">
        <f t="shared" ref="L508:L518" si="72">(E508*(1000/3.6))/1000</f>
        <v>1.9722222222222221</v>
      </c>
      <c r="M508" s="503">
        <f t="shared" ref="M508:M518" si="73">(F508*(1000/3.6))/1000</f>
        <v>0.86111111111111105</v>
      </c>
      <c r="N508" s="503">
        <f t="shared" ref="N508:N518" si="74">(G508*(1000/3.6))/1000</f>
        <v>2.8055555555555554</v>
      </c>
      <c r="O508" s="503">
        <f t="shared" ref="O508:O518" si="75">(H508*(1000/3.6))/1000</f>
        <v>1.0833333333333333</v>
      </c>
    </row>
    <row r="509" spans="3:16">
      <c r="C509" s="100" t="s">
        <v>206</v>
      </c>
      <c r="D509" s="167">
        <v>12.5</v>
      </c>
      <c r="E509" s="167">
        <v>10</v>
      </c>
      <c r="F509" s="167">
        <v>4.2</v>
      </c>
      <c r="G509" s="29">
        <v>12.1</v>
      </c>
      <c r="H509" s="130">
        <v>6.3</v>
      </c>
      <c r="J509" s="504" t="s">
        <v>206</v>
      </c>
      <c r="K509" s="503">
        <f t="shared" si="71"/>
        <v>3.4722222222222223</v>
      </c>
      <c r="L509" s="503">
        <f t="shared" si="72"/>
        <v>2.7777777777777777</v>
      </c>
      <c r="M509" s="503">
        <f t="shared" si="73"/>
        <v>1.1666666666666667</v>
      </c>
      <c r="N509" s="503">
        <f t="shared" si="74"/>
        <v>3.3611111111111107</v>
      </c>
      <c r="O509" s="503">
        <f t="shared" si="75"/>
        <v>1.75</v>
      </c>
    </row>
    <row r="510" spans="3:16">
      <c r="C510" s="100" t="s">
        <v>207</v>
      </c>
      <c r="D510" s="167">
        <v>10.7</v>
      </c>
      <c r="E510" s="167">
        <v>12.3</v>
      </c>
      <c r="F510" s="167">
        <v>5.7</v>
      </c>
      <c r="G510" s="29">
        <v>12.5</v>
      </c>
      <c r="H510" s="130">
        <v>9</v>
      </c>
      <c r="J510" s="504" t="s">
        <v>207</v>
      </c>
      <c r="K510" s="503">
        <f t="shared" si="71"/>
        <v>2.9722222222222223</v>
      </c>
      <c r="L510" s="503">
        <f t="shared" si="72"/>
        <v>3.416666666666667</v>
      </c>
      <c r="M510" s="503">
        <f t="shared" si="73"/>
        <v>1.5833333333333333</v>
      </c>
      <c r="N510" s="503">
        <f t="shared" si="74"/>
        <v>3.4722222222222223</v>
      </c>
      <c r="O510" s="503">
        <f t="shared" si="75"/>
        <v>2.5</v>
      </c>
    </row>
    <row r="511" spans="3:16" ht="14.5" customHeight="1">
      <c r="C511" s="100" t="s">
        <v>208</v>
      </c>
      <c r="D511" s="167">
        <v>9.6</v>
      </c>
      <c r="E511" s="167">
        <v>14.4</v>
      </c>
      <c r="F511" s="167">
        <v>8.1</v>
      </c>
      <c r="G511" s="29">
        <v>12.8</v>
      </c>
      <c r="H511" s="130">
        <v>11.7</v>
      </c>
      <c r="J511" s="504" t="s">
        <v>208</v>
      </c>
      <c r="K511" s="503">
        <f t="shared" si="71"/>
        <v>2.6666666666666665</v>
      </c>
      <c r="L511" s="503">
        <f t="shared" si="72"/>
        <v>4</v>
      </c>
      <c r="M511" s="503">
        <f t="shared" si="73"/>
        <v>2.25</v>
      </c>
      <c r="N511" s="503">
        <f t="shared" si="74"/>
        <v>3.5555555555555558</v>
      </c>
      <c r="O511" s="503">
        <f t="shared" si="75"/>
        <v>3.2499999999999996</v>
      </c>
    </row>
    <row r="512" spans="3:16">
      <c r="C512" s="100" t="s">
        <v>209</v>
      </c>
      <c r="D512" s="167">
        <v>9.1999999999999993</v>
      </c>
      <c r="E512" s="167">
        <v>15.7</v>
      </c>
      <c r="F512" s="167">
        <v>9.8000000000000007</v>
      </c>
      <c r="G512" s="29">
        <v>13</v>
      </c>
      <c r="H512" s="130">
        <v>13.4</v>
      </c>
      <c r="J512" s="504" t="s">
        <v>209</v>
      </c>
      <c r="K512" s="503">
        <f t="shared" si="71"/>
        <v>2.5555555555555554</v>
      </c>
      <c r="L512" s="503">
        <f t="shared" si="72"/>
        <v>4.3611111111111107</v>
      </c>
      <c r="M512" s="503">
        <f t="shared" si="73"/>
        <v>2.7222222222222223</v>
      </c>
      <c r="N512" s="503">
        <f t="shared" si="74"/>
        <v>3.6111111111111107</v>
      </c>
      <c r="O512" s="503">
        <f t="shared" si="75"/>
        <v>3.7222222222222223</v>
      </c>
    </row>
    <row r="513" spans="1:17">
      <c r="C513" s="100" t="s">
        <v>210</v>
      </c>
      <c r="D513" s="167">
        <v>10</v>
      </c>
      <c r="E513" s="167">
        <v>17.399999999999999</v>
      </c>
      <c r="F513" s="167">
        <v>9.5</v>
      </c>
      <c r="G513" s="29">
        <v>14.6</v>
      </c>
      <c r="H513" s="130">
        <v>14.2</v>
      </c>
      <c r="J513" s="504" t="s">
        <v>210</v>
      </c>
      <c r="K513" s="503">
        <f t="shared" si="71"/>
        <v>2.7777777777777777</v>
      </c>
      <c r="L513" s="503">
        <f t="shared" si="72"/>
        <v>4.833333333333333</v>
      </c>
      <c r="M513" s="503">
        <f t="shared" si="73"/>
        <v>2.6388888888888888</v>
      </c>
      <c r="N513" s="503">
        <f t="shared" si="74"/>
        <v>4.0555555555555554</v>
      </c>
      <c r="O513" s="503">
        <f t="shared" si="75"/>
        <v>3.9444444444444442</v>
      </c>
    </row>
    <row r="514" spans="1:17">
      <c r="C514" s="100" t="s">
        <v>211</v>
      </c>
      <c r="D514" s="167">
        <v>11.8</v>
      </c>
      <c r="E514" s="167">
        <v>15.8</v>
      </c>
      <c r="F514" s="167">
        <v>6.8</v>
      </c>
      <c r="G514" s="29">
        <v>15.1</v>
      </c>
      <c r="H514" s="130">
        <v>11.6</v>
      </c>
      <c r="J514" s="504" t="s">
        <v>211</v>
      </c>
      <c r="K514" s="503">
        <f t="shared" si="71"/>
        <v>3.2777777777777777</v>
      </c>
      <c r="L514" s="503">
        <f t="shared" si="72"/>
        <v>4.3888888888888884</v>
      </c>
      <c r="M514" s="503">
        <f t="shared" si="73"/>
        <v>1.8888888888888886</v>
      </c>
      <c r="N514" s="503">
        <f t="shared" si="74"/>
        <v>4.1944444444444446</v>
      </c>
      <c r="O514" s="503">
        <f t="shared" si="75"/>
        <v>3.2222222222222223</v>
      </c>
    </row>
    <row r="515" spans="1:17" ht="15" customHeight="1">
      <c r="C515" s="100" t="s">
        <v>212</v>
      </c>
      <c r="D515" s="167">
        <v>13.2</v>
      </c>
      <c r="E515" s="167">
        <v>12.2</v>
      </c>
      <c r="F515" s="167">
        <v>4.5999999999999996</v>
      </c>
      <c r="G515" s="29">
        <v>13.8</v>
      </c>
      <c r="H515" s="130">
        <v>7.8</v>
      </c>
      <c r="J515" s="504" t="s">
        <v>212</v>
      </c>
      <c r="K515" s="503">
        <f t="shared" si="71"/>
        <v>3.6666666666666665</v>
      </c>
      <c r="L515" s="503">
        <f t="shared" si="72"/>
        <v>3.3888888888888888</v>
      </c>
      <c r="M515" s="503">
        <f t="shared" si="73"/>
        <v>1.2777777777777777</v>
      </c>
      <c r="N515" s="503">
        <f t="shared" si="74"/>
        <v>3.8333333333333335</v>
      </c>
      <c r="O515" s="503">
        <f t="shared" si="75"/>
        <v>2.1666666666666665</v>
      </c>
    </row>
    <row r="516" spans="1:17">
      <c r="C516" s="100" t="s">
        <v>213</v>
      </c>
      <c r="D516" s="167">
        <v>13.7</v>
      </c>
      <c r="E516" s="167">
        <v>8.9</v>
      </c>
      <c r="F516" s="167">
        <v>3.5</v>
      </c>
      <c r="G516" s="29">
        <v>12.1</v>
      </c>
      <c r="H516" s="130">
        <v>4.9000000000000004</v>
      </c>
      <c r="J516" s="504" t="s">
        <v>213</v>
      </c>
      <c r="K516" s="503">
        <f t="shared" si="71"/>
        <v>3.8055555555555554</v>
      </c>
      <c r="L516" s="503">
        <f t="shared" si="72"/>
        <v>2.4722222222222223</v>
      </c>
      <c r="M516" s="503">
        <f t="shared" si="73"/>
        <v>0.97222222222222221</v>
      </c>
      <c r="N516" s="503">
        <f t="shared" si="74"/>
        <v>3.3611111111111107</v>
      </c>
      <c r="O516" s="503">
        <f t="shared" si="75"/>
        <v>1.3611111111111112</v>
      </c>
    </row>
    <row r="517" spans="1:17" ht="15" customHeight="1">
      <c r="C517" s="100" t="s">
        <v>214</v>
      </c>
      <c r="D517" s="167">
        <v>12.1</v>
      </c>
      <c r="E517" s="167">
        <v>6.2</v>
      </c>
      <c r="F517" s="167">
        <v>2.5</v>
      </c>
      <c r="G517" s="29">
        <v>9.8000000000000007</v>
      </c>
      <c r="H517" s="130">
        <v>3</v>
      </c>
      <c r="J517" s="504" t="s">
        <v>214</v>
      </c>
      <c r="K517" s="503">
        <f t="shared" si="71"/>
        <v>3.3611111111111107</v>
      </c>
      <c r="L517" s="503">
        <f t="shared" si="72"/>
        <v>1.7222222222222221</v>
      </c>
      <c r="M517" s="503">
        <f t="shared" si="73"/>
        <v>0.69444444444444442</v>
      </c>
      <c r="N517" s="503">
        <f t="shared" si="74"/>
        <v>2.7222222222222223</v>
      </c>
      <c r="O517" s="503">
        <f t="shared" si="75"/>
        <v>0.83333333333333326</v>
      </c>
    </row>
    <row r="518" spans="1:17">
      <c r="C518" s="100" t="s">
        <v>215</v>
      </c>
      <c r="D518" s="167">
        <v>10.4</v>
      </c>
      <c r="E518" s="167">
        <v>4.9000000000000004</v>
      </c>
      <c r="F518" s="167">
        <v>2.1</v>
      </c>
      <c r="G518" s="29">
        <v>8.1999999999999993</v>
      </c>
      <c r="H518" s="130">
        <v>2.4</v>
      </c>
      <c r="J518" s="504" t="s">
        <v>215</v>
      </c>
      <c r="K518" s="503">
        <f t="shared" si="71"/>
        <v>2.8888888888888893</v>
      </c>
      <c r="L518" s="503">
        <f t="shared" si="72"/>
        <v>1.3611111111111112</v>
      </c>
      <c r="M518" s="503">
        <f t="shared" si="73"/>
        <v>0.58333333333333337</v>
      </c>
      <c r="N518" s="503">
        <f t="shared" si="74"/>
        <v>2.2777777777777772</v>
      </c>
      <c r="O518" s="503">
        <f t="shared" si="75"/>
        <v>0.66666666666666663</v>
      </c>
    </row>
    <row r="519" spans="1:17">
      <c r="C519" s="1082"/>
      <c r="D519" s="1082"/>
      <c r="E519" s="1082"/>
    </row>
    <row r="520" spans="1:17">
      <c r="C520" s="1082"/>
      <c r="D520" s="1082"/>
      <c r="E520" s="1082"/>
    </row>
    <row r="521" spans="1:17">
      <c r="A521" s="560"/>
      <c r="C521" s="1082"/>
      <c r="D521" s="1082"/>
      <c r="E521" s="1082"/>
      <c r="F521" s="560"/>
      <c r="G521" s="159"/>
      <c r="H521" s="560"/>
      <c r="I521" s="560"/>
      <c r="J521" s="560"/>
      <c r="K521" s="560"/>
      <c r="L521" s="560"/>
      <c r="M521" s="560"/>
      <c r="N521" s="560"/>
      <c r="O521" s="560"/>
      <c r="P521" s="560"/>
      <c r="Q521" s="560"/>
    </row>
    <row r="522" spans="1:17">
      <c r="A522" s="560"/>
      <c r="C522" s="560"/>
      <c r="D522" s="560"/>
      <c r="E522" s="560"/>
      <c r="F522" s="560"/>
      <c r="G522" s="560"/>
      <c r="H522" s="560"/>
      <c r="I522" s="560"/>
      <c r="J522" s="560"/>
      <c r="K522" s="560"/>
      <c r="L522" s="560"/>
      <c r="M522" s="560"/>
      <c r="N522" s="560"/>
      <c r="O522" s="560"/>
      <c r="P522" s="560"/>
      <c r="Q522" s="560"/>
    </row>
    <row r="523" spans="1:17">
      <c r="A523" s="560"/>
      <c r="C523" s="560"/>
      <c r="D523" s="560"/>
      <c r="E523" s="560"/>
      <c r="F523" s="560"/>
      <c r="G523" s="560"/>
      <c r="H523" s="560"/>
      <c r="I523" s="560"/>
      <c r="J523" s="560"/>
      <c r="K523" s="560"/>
      <c r="L523" s="560"/>
      <c r="M523" s="560"/>
      <c r="N523" s="560"/>
      <c r="O523" s="560"/>
      <c r="P523" s="560"/>
      <c r="Q523" s="560"/>
    </row>
    <row r="524" spans="1:17">
      <c r="A524" s="992" t="s">
        <v>0</v>
      </c>
      <c r="B524" s="881"/>
      <c r="C524" s="960" t="s">
        <v>566</v>
      </c>
      <c r="D524" s="961"/>
      <c r="E524" s="961"/>
      <c r="F524" s="962"/>
      <c r="G524" s="982"/>
      <c r="H524" s="960" t="s">
        <v>567</v>
      </c>
      <c r="I524" s="961"/>
      <c r="J524" s="961"/>
      <c r="K524" s="961"/>
      <c r="L524" s="962"/>
      <c r="M524" s="951" t="s">
        <v>5</v>
      </c>
      <c r="N524" s="952"/>
      <c r="O524" s="951" t="s">
        <v>6</v>
      </c>
      <c r="P524" s="952"/>
      <c r="Q524" s="560"/>
    </row>
    <row r="525" spans="1:17" ht="45">
      <c r="A525" s="47">
        <v>7</v>
      </c>
      <c r="B525" s="882"/>
      <c r="C525" s="985" t="s">
        <v>550</v>
      </c>
      <c r="D525" s="986"/>
      <c r="E525" s="986"/>
      <c r="F525" s="987"/>
      <c r="G525" s="983"/>
      <c r="H525" s="965" t="s">
        <v>568</v>
      </c>
      <c r="I525" s="966"/>
      <c r="J525" s="966"/>
      <c r="K525" s="966"/>
      <c r="L525" s="967"/>
      <c r="M525" s="958">
        <f>'1.Dati'!L2:M2</f>
        <v>0</v>
      </c>
      <c r="N525" s="959"/>
      <c r="O525" s="958" t="str">
        <f>O470</f>
        <v>X</v>
      </c>
      <c r="P525" s="959"/>
      <c r="Q525" s="560"/>
    </row>
    <row r="526" spans="1:17" ht="45">
      <c r="A526" s="48" t="s">
        <v>69</v>
      </c>
      <c r="B526" s="883"/>
      <c r="C526" s="988" t="s">
        <v>551</v>
      </c>
      <c r="D526" s="989"/>
      <c r="E526" s="989"/>
      <c r="F526" s="990"/>
      <c r="G526" s="984"/>
      <c r="H526" s="968">
        <f>'1.Dati'!G3:K3</f>
        <v>0</v>
      </c>
      <c r="I526" s="969"/>
      <c r="J526" s="969"/>
      <c r="K526" s="969"/>
      <c r="L526" s="970"/>
      <c r="M526" s="953" t="s">
        <v>1028</v>
      </c>
      <c r="N526" s="954"/>
      <c r="O526" s="953" t="str">
        <f>O471</f>
        <v>Y</v>
      </c>
      <c r="P526" s="954"/>
      <c r="Q526" s="560"/>
    </row>
    <row r="527" spans="1:17">
      <c r="A527" s="560"/>
      <c r="C527" s="560"/>
      <c r="D527" s="560"/>
      <c r="E527" s="560"/>
      <c r="F527" s="560"/>
      <c r="G527" s="560"/>
      <c r="H527" s="560"/>
      <c r="I527" s="560"/>
      <c r="J527" s="560"/>
      <c r="K527" s="560"/>
      <c r="L527" s="560"/>
      <c r="M527" s="560"/>
      <c r="N527" s="560"/>
      <c r="O527" s="560"/>
      <c r="P527" s="560"/>
      <c r="Q527" s="560"/>
    </row>
    <row r="528" spans="1:17" ht="18">
      <c r="A528" s="995" t="s">
        <v>651</v>
      </c>
      <c r="B528" s="995"/>
      <c r="C528" s="995"/>
      <c r="D528" s="995"/>
      <c r="E528" s="995"/>
      <c r="F528" s="995"/>
      <c r="G528" s="995"/>
      <c r="H528" s="995"/>
      <c r="I528" s="995"/>
      <c r="J528" s="995"/>
      <c r="K528" s="995"/>
      <c r="L528" s="995"/>
      <c r="M528" s="995"/>
      <c r="N528" s="995"/>
      <c r="O528" s="995"/>
      <c r="P528" s="995"/>
      <c r="Q528" s="560"/>
    </row>
    <row r="529" spans="1:18">
      <c r="A529" s="560"/>
      <c r="C529" s="560"/>
      <c r="D529" s="889" t="s">
        <v>869</v>
      </c>
      <c r="E529" s="560"/>
      <c r="F529" s="560"/>
      <c r="G529" s="560"/>
      <c r="H529" s="560"/>
      <c r="I529" s="560"/>
      <c r="J529" s="560"/>
      <c r="K529" s="560"/>
      <c r="L529" s="560"/>
      <c r="M529" s="560"/>
      <c r="N529" s="560"/>
      <c r="O529" s="560"/>
      <c r="P529" s="560"/>
      <c r="Q529" s="560"/>
    </row>
    <row r="530" spans="1:18" ht="49">
      <c r="A530" s="1006" t="s">
        <v>652</v>
      </c>
      <c r="B530" s="1006"/>
      <c r="C530" s="1007"/>
      <c r="D530" s="1002" t="s">
        <v>332</v>
      </c>
      <c r="E530" s="996" t="s">
        <v>204</v>
      </c>
      <c r="F530" s="996" t="s">
        <v>205</v>
      </c>
      <c r="G530" s="996" t="s">
        <v>206</v>
      </c>
      <c r="H530" s="996" t="s">
        <v>207</v>
      </c>
      <c r="I530" s="996" t="s">
        <v>208</v>
      </c>
      <c r="J530" s="996" t="s">
        <v>209</v>
      </c>
      <c r="K530" s="996" t="s">
        <v>210</v>
      </c>
      <c r="L530" s="996" t="s">
        <v>211</v>
      </c>
      <c r="M530" s="996" t="s">
        <v>212</v>
      </c>
      <c r="N530" s="996" t="s">
        <v>213</v>
      </c>
      <c r="O530" s="996" t="s">
        <v>214</v>
      </c>
      <c r="P530" s="996" t="s">
        <v>215</v>
      </c>
      <c r="Q530" s="560"/>
    </row>
    <row r="531" spans="1:18">
      <c r="A531" s="1007"/>
      <c r="B531" s="1007"/>
      <c r="C531" s="1008"/>
      <c r="D531" s="998"/>
      <c r="E531" s="997"/>
      <c r="F531" s="997"/>
      <c r="G531" s="997"/>
      <c r="H531" s="997"/>
      <c r="I531" s="997"/>
      <c r="J531" s="997"/>
      <c r="K531" s="997"/>
      <c r="L531" s="997"/>
      <c r="M531" s="997"/>
      <c r="N531" s="997"/>
      <c r="O531" s="997"/>
      <c r="P531" s="997"/>
      <c r="Q531" s="560"/>
    </row>
    <row r="532" spans="1:18">
      <c r="A532" s="1484" t="s">
        <v>34</v>
      </c>
      <c r="B532" s="1481" t="s">
        <v>809</v>
      </c>
      <c r="C532" s="1103" t="s">
        <v>9</v>
      </c>
      <c r="D532" s="972" t="s">
        <v>593</v>
      </c>
      <c r="E532" s="976">
        <f>$L$507*$I$167</f>
        <v>5.0287487093087745E-2</v>
      </c>
      <c r="F532" s="976">
        <f>$L$508*$I$167</f>
        <v>6.3757349707307689E-2</v>
      </c>
      <c r="G532" s="976">
        <f>$L$509*$I$167</f>
        <v>8.9799084094799558E-2</v>
      </c>
      <c r="H532" s="976">
        <f>$L$510*$I$167</f>
        <v>0.11045287343660347</v>
      </c>
      <c r="I532" s="976">
        <f>$L$511*$I$167</f>
        <v>0.12931068109651137</v>
      </c>
      <c r="J532" s="976">
        <f>$L$512*$I$167</f>
        <v>0.1409845620288353</v>
      </c>
      <c r="K532" s="976">
        <f>$L$513*$I$167</f>
        <v>0.15625040632495121</v>
      </c>
      <c r="L532" s="976">
        <f>$L$514*$I$167</f>
        <v>0.1418825528697833</v>
      </c>
      <c r="M532" s="976">
        <f>$L$515*$I$167</f>
        <v>0.10955488259565546</v>
      </c>
      <c r="N532" s="976">
        <f>$L$516*$I$167</f>
        <v>7.9921184844371607E-2</v>
      </c>
      <c r="O532" s="976">
        <f>$L$517*$I$167</f>
        <v>5.5675432138775724E-2</v>
      </c>
      <c r="P532" s="976">
        <f>$L$518*$I$167</f>
        <v>4.4001551206451786E-2</v>
      </c>
      <c r="Q532" s="159"/>
    </row>
    <row r="533" spans="1:18">
      <c r="A533" s="1485"/>
      <c r="B533" s="1482"/>
      <c r="C533" s="1104"/>
      <c r="D533" s="974" t="s">
        <v>813</v>
      </c>
      <c r="E533" s="977">
        <f>$O$507*$I$168</f>
        <v>1.5796475247585196E-2</v>
      </c>
      <c r="F533" s="977">
        <f>$O$508*$I$168</f>
        <v>2.2817130913178614E-2</v>
      </c>
      <c r="G533" s="977">
        <f>$O$509*$I$168</f>
        <v>3.6858442244365457E-2</v>
      </c>
      <c r="H533" s="977">
        <f>$O$510*$I$168</f>
        <v>5.2654917491950649E-2</v>
      </c>
      <c r="I533" s="977">
        <f>$O$511*$I$168</f>
        <v>6.8451392739535835E-2</v>
      </c>
      <c r="J533" s="977">
        <f>$O$512*$I$168</f>
        <v>7.8397321599126532E-2</v>
      </c>
      <c r="K533" s="977">
        <f>$O$513*$I$168</f>
        <v>8.3077758709522137E-2</v>
      </c>
      <c r="L533" s="977">
        <f>$O$514*$I$168</f>
        <v>6.7866338100736404E-2</v>
      </c>
      <c r="M533" s="977">
        <f>$O$515*$I$168</f>
        <v>4.5634261826357228E-2</v>
      </c>
      <c r="N533" s="977">
        <f>$O$516*$I$168</f>
        <v>2.8667677301173134E-2</v>
      </c>
      <c r="O533" s="977">
        <f>$O$517*$I$168</f>
        <v>1.755163916398355E-2</v>
      </c>
      <c r="P533" s="977">
        <f>$O$518*$I$168</f>
        <v>1.4041311331186839E-2</v>
      </c>
      <c r="Q533" s="159"/>
    </row>
    <row r="534" spans="1:18">
      <c r="A534" s="1485"/>
      <c r="B534" s="1482"/>
      <c r="C534" s="1104"/>
      <c r="D534" s="974" t="s">
        <v>816</v>
      </c>
      <c r="E534" s="977">
        <f>$M$507*$I$169</f>
        <v>0</v>
      </c>
      <c r="F534" s="977">
        <f>$L$508*$I$169</f>
        <v>0</v>
      </c>
      <c r="G534" s="977">
        <f>$L$509*$I$169</f>
        <v>0</v>
      </c>
      <c r="H534" s="977">
        <f>$L$510*$I$169</f>
        <v>0</v>
      </c>
      <c r="I534" s="977">
        <f>$L$511*$I$169</f>
        <v>0</v>
      </c>
      <c r="J534" s="977">
        <f>$M$512*$I$169</f>
        <v>0</v>
      </c>
      <c r="K534" s="977">
        <f>$L$513*$I$169</f>
        <v>0</v>
      </c>
      <c r="L534" s="977">
        <f>$L$514*$I$169</f>
        <v>0</v>
      </c>
      <c r="M534" s="977">
        <f>$L$515*$I$169</f>
        <v>0</v>
      </c>
      <c r="N534" s="977">
        <f>$L$516*$I$169</f>
        <v>0</v>
      </c>
      <c r="O534" s="977">
        <f>$L$517*$I$169</f>
        <v>0</v>
      </c>
      <c r="P534" s="977">
        <f>$L$518*$I$169</f>
        <v>0</v>
      </c>
      <c r="Q534" s="159"/>
    </row>
    <row r="535" spans="1:18">
      <c r="A535" s="1485"/>
      <c r="B535" s="1482"/>
      <c r="C535" s="1105"/>
      <c r="D535" s="939" t="s">
        <v>618</v>
      </c>
      <c r="E535" s="978">
        <f>$O$507*M316</f>
        <v>1.3566796875000002</v>
      </c>
      <c r="F535" s="1212">
        <f>O508*M317</f>
        <v>1.9596484375000001</v>
      </c>
      <c r="G535" s="1212">
        <f>O509*M318</f>
        <v>3.1655859375000004</v>
      </c>
      <c r="H535" s="1212">
        <f>O510*M319</f>
        <v>4.5222656250000002</v>
      </c>
      <c r="I535" s="1212">
        <f>O511*M320</f>
        <v>5.8789453125</v>
      </c>
      <c r="J535" s="1212">
        <f>O512*M321</f>
        <v>6.7331510416666678</v>
      </c>
      <c r="K535" s="1212">
        <f>O513*M322</f>
        <v>7.1351302083333339</v>
      </c>
      <c r="L535" s="1212">
        <f>O514*M323</f>
        <v>5.828697916666667</v>
      </c>
      <c r="M535" s="1212">
        <f>O515*M324</f>
        <v>3.9192968750000001</v>
      </c>
      <c r="N535" s="1212">
        <f>O516*M325</f>
        <v>2.4621223958333336</v>
      </c>
      <c r="O535" s="1212">
        <f>O517*M326</f>
        <v>1.5074218749999997</v>
      </c>
      <c r="P535" s="1212">
        <f>O518*M327</f>
        <v>1.2059375000000001</v>
      </c>
      <c r="Q535" s="159"/>
      <c r="R535" s="1221"/>
    </row>
    <row r="536" spans="1:18">
      <c r="A536" s="1485"/>
      <c r="B536" s="1482"/>
      <c r="C536" s="866" t="s">
        <v>804</v>
      </c>
      <c r="D536" s="973" t="s">
        <v>814</v>
      </c>
      <c r="E536" s="977">
        <f>$O$507*$I$170</f>
        <v>3.7323764771038506E-2</v>
      </c>
      <c r="F536" s="977">
        <f>$O$508*$I$170</f>
        <v>5.3912104669277844E-2</v>
      </c>
      <c r="G536" s="977">
        <f>O509*$I$170</f>
        <v>8.7088784465756519E-2</v>
      </c>
      <c r="H536" s="977">
        <f>O510*$I$170</f>
        <v>0.12441254923679504</v>
      </c>
      <c r="I536" s="977">
        <f>O511*$I$170</f>
        <v>0.16173631400783353</v>
      </c>
      <c r="J536" s="977">
        <f>O512*$I$170</f>
        <v>0.18523646219700593</v>
      </c>
      <c r="K536" s="977">
        <f>O513*$I$170</f>
        <v>0.19629535546249882</v>
      </c>
      <c r="L536" s="977">
        <f>O514*$I$170</f>
        <v>0.16035395234964694</v>
      </c>
      <c r="M536" s="977">
        <f>O515*$I$170</f>
        <v>0.10782420933855569</v>
      </c>
      <c r="N536" s="977">
        <f>O516*$I$170</f>
        <v>6.7735721251143965E-2</v>
      </c>
      <c r="O536" s="977">
        <f>O517*$I$170</f>
        <v>4.1470849745598337E-2</v>
      </c>
      <c r="P536" s="977">
        <f>O518*$I$170</f>
        <v>3.3176679796478675E-2</v>
      </c>
      <c r="Q536" s="580"/>
      <c r="R536" s="1221"/>
    </row>
    <row r="537" spans="1:18">
      <c r="A537" s="1485"/>
      <c r="B537" s="1482"/>
      <c r="C537" s="866"/>
      <c r="D537" s="973" t="s">
        <v>590</v>
      </c>
      <c r="E537" s="977">
        <f>$M$507*$I$171</f>
        <v>2.4784547210164678E-2</v>
      </c>
      <c r="F537" s="977">
        <f>M508*$I$171</f>
        <v>3.3405259283265432E-2</v>
      </c>
      <c r="G537" s="977">
        <f>M509*$I$171</f>
        <v>4.5258738383778981E-2</v>
      </c>
      <c r="H537" s="977">
        <f>M510*$I$171</f>
        <v>6.1422573520842898E-2</v>
      </c>
      <c r="I537" s="977">
        <f>M511*$I$171</f>
        <v>8.7284709740145169E-2</v>
      </c>
      <c r="J537" s="977">
        <f>M512*$I$171</f>
        <v>0.10560372289548429</v>
      </c>
      <c r="K537" s="977">
        <f>M513*$I$171</f>
        <v>0.1023709558680715</v>
      </c>
      <c r="L537" s="977">
        <f>M514*$I$171</f>
        <v>7.3276052621356433E-2</v>
      </c>
      <c r="M537" s="977">
        <f>M515*$I$171</f>
        <v>4.9569094420329356E-2</v>
      </c>
      <c r="N537" s="977">
        <f>M516*$I$171</f>
        <v>3.7715615319815814E-2</v>
      </c>
      <c r="O537" s="977">
        <f>M517*$I$171</f>
        <v>2.6939725228439869E-2</v>
      </c>
      <c r="P537" s="977">
        <f>M518*$I$171</f>
        <v>2.262936919188949E-2</v>
      </c>
      <c r="Q537" s="218"/>
      <c r="R537" s="1221"/>
    </row>
    <row r="538" spans="1:18">
      <c r="A538" s="1485"/>
      <c r="B538" s="1482"/>
      <c r="C538" s="866"/>
      <c r="D538" s="973" t="s">
        <v>815</v>
      </c>
      <c r="E538" s="977">
        <f>$M$507*$I$169</f>
        <v>0</v>
      </c>
      <c r="F538" s="977">
        <f>$L$508*$I$169</f>
        <v>0</v>
      </c>
      <c r="G538" s="977">
        <f>$L$509*$I$169</f>
        <v>0</v>
      </c>
      <c r="H538" s="977">
        <f>$L$510*$I$169</f>
        <v>0</v>
      </c>
      <c r="I538" s="977">
        <f>$L$511*$I$169</f>
        <v>0</v>
      </c>
      <c r="J538" s="977">
        <f>$M$512*$I$169</f>
        <v>0</v>
      </c>
      <c r="K538" s="977">
        <f>$L$513*$I$169</f>
        <v>0</v>
      </c>
      <c r="L538" s="977">
        <f>$L$514*$I$169</f>
        <v>0</v>
      </c>
      <c r="M538" s="977">
        <f>$L$515*$I$169</f>
        <v>0</v>
      </c>
      <c r="N538" s="977">
        <f>$L$516*$I$169</f>
        <v>0</v>
      </c>
      <c r="O538" s="977">
        <f>$L$517*$I$169</f>
        <v>0</v>
      </c>
      <c r="P538" s="977">
        <f>$L$518*$I$169</f>
        <v>0</v>
      </c>
      <c r="Q538" s="560"/>
      <c r="R538" s="1221"/>
    </row>
    <row r="539" spans="1:18">
      <c r="A539" s="1485"/>
      <c r="B539" s="1482"/>
      <c r="C539" s="980"/>
      <c r="D539" s="973" t="s">
        <v>818</v>
      </c>
      <c r="E539" s="977">
        <f>$M$507*$I$169</f>
        <v>0</v>
      </c>
      <c r="F539" s="977">
        <f>$L$508*$I$169</f>
        <v>0</v>
      </c>
      <c r="G539" s="977">
        <f>$L$509*$I$169</f>
        <v>0</v>
      </c>
      <c r="H539" s="977">
        <f>$L$510*$I$169</f>
        <v>0</v>
      </c>
      <c r="I539" s="977">
        <f>$L$511*$I$169</f>
        <v>0</v>
      </c>
      <c r="J539" s="977">
        <f>$M$512*$I$169</f>
        <v>0</v>
      </c>
      <c r="K539" s="977">
        <f>$L$513*$I$169</f>
        <v>0</v>
      </c>
      <c r="L539" s="977">
        <f>$L$514*$I$169</f>
        <v>0</v>
      </c>
      <c r="M539" s="977">
        <f>$L$515*$I$169</f>
        <v>0</v>
      </c>
      <c r="N539" s="977">
        <f>$L$516*$I$169</f>
        <v>0</v>
      </c>
      <c r="O539" s="977">
        <f>$L$517*$I$169</f>
        <v>0</v>
      </c>
      <c r="P539" s="977">
        <f>$L$518*$I$169</f>
        <v>0</v>
      </c>
      <c r="Q539" s="560"/>
      <c r="R539" s="1221"/>
    </row>
    <row r="540" spans="1:18" ht="15" customHeight="1">
      <c r="A540" s="1485"/>
      <c r="B540" s="1482"/>
      <c r="C540" s="980"/>
      <c r="D540" s="973" t="s">
        <v>819</v>
      </c>
      <c r="E540" s="218">
        <v>0</v>
      </c>
      <c r="F540" s="218">
        <v>0</v>
      </c>
      <c r="G540" s="218">
        <v>0</v>
      </c>
      <c r="H540" s="218">
        <v>0</v>
      </c>
      <c r="I540" s="218">
        <v>0</v>
      </c>
      <c r="J540" s="218">
        <v>0</v>
      </c>
      <c r="K540" s="218">
        <v>0</v>
      </c>
      <c r="L540" s="218">
        <v>0</v>
      </c>
      <c r="M540" s="218">
        <v>0</v>
      </c>
      <c r="N540" s="218">
        <v>0</v>
      </c>
      <c r="O540" s="218">
        <v>0</v>
      </c>
      <c r="P540" s="977">
        <v>0</v>
      </c>
      <c r="Q540" s="560"/>
      <c r="R540" s="1221"/>
    </row>
    <row r="541" spans="1:18" ht="15" customHeight="1">
      <c r="A541" s="1485"/>
      <c r="B541" s="1482"/>
      <c r="C541" s="980"/>
      <c r="D541" s="847" t="s">
        <v>619</v>
      </c>
      <c r="E541" s="218">
        <f>O507*M330</f>
        <v>4.448953125000001</v>
      </c>
      <c r="F541" s="218">
        <f>O508*M331</f>
        <v>6.426265625000001</v>
      </c>
      <c r="G541" s="218">
        <f>O509*M332</f>
        <v>10.380890625000001</v>
      </c>
      <c r="H541" s="218">
        <f>O510*M333</f>
        <v>14.829843750000002</v>
      </c>
      <c r="I541" s="218">
        <f>O511*M334</f>
        <v>19.278796875000001</v>
      </c>
      <c r="J541" s="218">
        <f>O512*M335</f>
        <v>22.079989583333337</v>
      </c>
      <c r="K541" s="218">
        <f>O513*M336</f>
        <v>23.398197916666668</v>
      </c>
      <c r="L541" s="218">
        <f>O514*M337</f>
        <v>19.114020833333338</v>
      </c>
      <c r="M541" s="218">
        <f>O515*M338</f>
        <v>12.852531250000002</v>
      </c>
      <c r="N541" s="218">
        <f>O516*M339</f>
        <v>8.0740260416666683</v>
      </c>
      <c r="O541" s="218">
        <f>O517*M340</f>
        <v>4.9432812499999992</v>
      </c>
      <c r="P541" s="1210">
        <f>O518*M341</f>
        <v>3.9546250000000005</v>
      </c>
      <c r="Q541" s="560"/>
      <c r="R541" s="138"/>
    </row>
    <row r="542" spans="1:18">
      <c r="A542" s="1485"/>
      <c r="B542" s="1482"/>
      <c r="C542" s="981"/>
      <c r="D542" s="852" t="s">
        <v>631</v>
      </c>
      <c r="E542" s="210">
        <f>M507*M344</f>
        <v>0.69080739583333328</v>
      </c>
      <c r="F542" s="210">
        <f>M508*M345</f>
        <v>0.93108822916666656</v>
      </c>
      <c r="G542" s="210">
        <f>M509*M346</f>
        <v>1.2614743750000001</v>
      </c>
      <c r="H542" s="210">
        <f>M510*M347</f>
        <v>1.7120009374999998</v>
      </c>
      <c r="I542" s="210">
        <f>M511*M348</f>
        <v>2.4328434374999999</v>
      </c>
      <c r="J542" s="210">
        <f>M512*M349</f>
        <v>2.9434402083333335</v>
      </c>
      <c r="K542" s="210">
        <f>M513*M350</f>
        <v>2.8533348958333331</v>
      </c>
      <c r="L542" s="210">
        <f>M514*M351</f>
        <v>2.0423870833333329</v>
      </c>
      <c r="M542" s="210">
        <f>M515*M352</f>
        <v>1.3816147916666666</v>
      </c>
      <c r="N542" s="210">
        <f>M516*M353</f>
        <v>1.0512286458333333</v>
      </c>
      <c r="O542" s="210">
        <f>M517*M354</f>
        <v>0.7508776041666666</v>
      </c>
      <c r="P542" s="1211">
        <f>M518*M355</f>
        <v>0.63073718750000007</v>
      </c>
      <c r="Q542" s="560"/>
      <c r="R542" s="138"/>
    </row>
    <row r="543" spans="1:18">
      <c r="A543" s="1485"/>
      <c r="B543" s="1482"/>
      <c r="C543" s="980" t="s">
        <v>22</v>
      </c>
      <c r="D543" s="973" t="s">
        <v>821</v>
      </c>
      <c r="E543" s="977">
        <f>$M$507*$I$169</f>
        <v>0</v>
      </c>
      <c r="F543" s="977">
        <f>$L$508*$I$169</f>
        <v>0</v>
      </c>
      <c r="G543" s="977">
        <f>$L$509*$I$169</f>
        <v>0</v>
      </c>
      <c r="H543" s="977">
        <f>$L$510*$I$169</f>
        <v>0</v>
      </c>
      <c r="I543" s="977">
        <f>$L$511*$I$169</f>
        <v>0</v>
      </c>
      <c r="J543" s="977">
        <f>$M$512*$I$169</f>
        <v>0</v>
      </c>
      <c r="K543" s="977">
        <f>$L$513*$I$169</f>
        <v>0</v>
      </c>
      <c r="L543" s="977">
        <f>$L$514*$I$169</f>
        <v>0</v>
      </c>
      <c r="M543" s="977">
        <f>$L$515*$I$169</f>
        <v>0</v>
      </c>
      <c r="N543" s="977">
        <f>$L$516*$I$169</f>
        <v>0</v>
      </c>
      <c r="O543" s="977">
        <f>$L$517*$I$169</f>
        <v>0</v>
      </c>
      <c r="P543" s="977">
        <f>$L$518*$I$169</f>
        <v>0</v>
      </c>
      <c r="Q543" s="560"/>
      <c r="R543" s="138"/>
    </row>
    <row r="544" spans="1:18">
      <c r="A544" s="1485"/>
      <c r="B544" s="1482"/>
      <c r="C544" s="981"/>
      <c r="D544" s="975" t="s">
        <v>822</v>
      </c>
      <c r="E544" s="978">
        <f>$M$507*$I$169</f>
        <v>0</v>
      </c>
      <c r="F544" s="978">
        <f>$L$508*$I$169</f>
        <v>0</v>
      </c>
      <c r="G544" s="978">
        <f>$L$509*$I$169</f>
        <v>0</v>
      </c>
      <c r="H544" s="978">
        <f>$L$510*$I$169</f>
        <v>0</v>
      </c>
      <c r="I544" s="978">
        <f>$L$511*$I$169</f>
        <v>0</v>
      </c>
      <c r="J544" s="978">
        <f>$M$512*$I$169</f>
        <v>0</v>
      </c>
      <c r="K544" s="978">
        <f>$L$513*$I$169</f>
        <v>0</v>
      </c>
      <c r="L544" s="978">
        <f>$L$514*$I$169</f>
        <v>0</v>
      </c>
      <c r="M544" s="978">
        <f>$L$515*$I$169</f>
        <v>0</v>
      </c>
      <c r="N544" s="978">
        <f>$L$516*$I$169</f>
        <v>0</v>
      </c>
      <c r="O544" s="978">
        <f>$L$517*$I$169</f>
        <v>0</v>
      </c>
      <c r="P544" s="978">
        <f>$L$518*$I$169</f>
        <v>0</v>
      </c>
      <c r="Q544" s="560"/>
      <c r="R544" s="138"/>
    </row>
    <row r="545" spans="1:18">
      <c r="A545" s="1485"/>
      <c r="B545" s="1482"/>
      <c r="C545" s="979" t="s">
        <v>803</v>
      </c>
      <c r="D545" s="971" t="s">
        <v>827</v>
      </c>
      <c r="E545" s="218">
        <v>0</v>
      </c>
      <c r="F545" s="218">
        <v>0</v>
      </c>
      <c r="G545" s="218">
        <v>0</v>
      </c>
      <c r="H545" s="218">
        <v>0</v>
      </c>
      <c r="I545" s="218">
        <v>0</v>
      </c>
      <c r="J545" s="218">
        <v>0</v>
      </c>
      <c r="K545" s="218">
        <v>0</v>
      </c>
      <c r="L545" s="218">
        <v>0</v>
      </c>
      <c r="M545" s="218">
        <v>0</v>
      </c>
      <c r="N545" s="218">
        <v>0</v>
      </c>
      <c r="O545" s="218">
        <v>0</v>
      </c>
      <c r="P545" s="977">
        <v>0</v>
      </c>
      <c r="Q545" s="560"/>
      <c r="R545" s="138"/>
    </row>
    <row r="546" spans="1:18">
      <c r="A546" s="1485"/>
      <c r="B546" s="1482"/>
      <c r="C546" s="980"/>
      <c r="D546" s="973" t="s">
        <v>823</v>
      </c>
      <c r="E546" s="218">
        <v>0</v>
      </c>
      <c r="F546" s="218">
        <v>0</v>
      </c>
      <c r="G546" s="218">
        <v>0</v>
      </c>
      <c r="H546" s="218">
        <v>0</v>
      </c>
      <c r="I546" s="218">
        <v>0</v>
      </c>
      <c r="J546" s="218">
        <v>0</v>
      </c>
      <c r="K546" s="218">
        <v>0</v>
      </c>
      <c r="L546" s="218">
        <v>0</v>
      </c>
      <c r="M546" s="218">
        <v>0</v>
      </c>
      <c r="N546" s="218">
        <v>0</v>
      </c>
      <c r="O546" s="218">
        <v>0</v>
      </c>
      <c r="P546" s="977">
        <v>0</v>
      </c>
      <c r="Q546" s="560"/>
      <c r="R546" s="138"/>
    </row>
    <row r="547" spans="1:18">
      <c r="A547" s="1485"/>
      <c r="B547" s="1482"/>
      <c r="C547" s="981"/>
      <c r="D547" s="975" t="s">
        <v>824</v>
      </c>
      <c r="E547" s="210">
        <v>0</v>
      </c>
      <c r="F547" s="210">
        <v>0</v>
      </c>
      <c r="G547" s="210">
        <v>0</v>
      </c>
      <c r="H547" s="210">
        <v>0</v>
      </c>
      <c r="I547" s="210">
        <v>0</v>
      </c>
      <c r="J547" s="210">
        <v>0</v>
      </c>
      <c r="K547" s="210">
        <v>0</v>
      </c>
      <c r="L547" s="210">
        <v>0</v>
      </c>
      <c r="M547" s="210">
        <v>0</v>
      </c>
      <c r="N547" s="210">
        <v>0</v>
      </c>
      <c r="O547" s="210">
        <v>0</v>
      </c>
      <c r="P547" s="978">
        <v>0</v>
      </c>
      <c r="Q547" s="560"/>
      <c r="R547" s="138"/>
    </row>
    <row r="548" spans="1:18">
      <c r="A548" s="1485"/>
      <c r="B548" s="1482"/>
      <c r="C548" s="979" t="s">
        <v>802</v>
      </c>
      <c r="D548" s="971" t="s">
        <v>591</v>
      </c>
      <c r="E548" s="977">
        <f>$M$507*$I$180</f>
        <v>2.1905534150398073E-2</v>
      </c>
      <c r="F548" s="977">
        <f>M508*$I$180</f>
        <v>2.9524850376623491E-2</v>
      </c>
      <c r="G548" s="977">
        <f>M509*$I$180</f>
        <v>4.0001410187683446E-2</v>
      </c>
      <c r="H548" s="977">
        <f>M510*$I$180</f>
        <v>5.4287628111856098E-2</v>
      </c>
      <c r="I548" s="977">
        <f>M511*$I$180</f>
        <v>7.7145576790532355E-2</v>
      </c>
      <c r="J548" s="977">
        <f>M512*$I$180</f>
        <v>9.3336623771261368E-2</v>
      </c>
      <c r="K548" s="977">
        <f>M513*$I$180</f>
        <v>9.047938018642683E-2</v>
      </c>
      <c r="L548" s="977">
        <f>M514*$I$180</f>
        <v>6.4764187922916036E-2</v>
      </c>
      <c r="M548" s="977">
        <f>M515*$I$180</f>
        <v>4.3811068300796147E-2</v>
      </c>
      <c r="N548" s="977">
        <f>M516*$I$180</f>
        <v>3.3334508489736202E-2</v>
      </c>
      <c r="O548" s="977">
        <f>M517*$I$180</f>
        <v>2.381036320695443E-2</v>
      </c>
      <c r="P548" s="977">
        <f>M518*$I$180</f>
        <v>2.0000705093841723E-2</v>
      </c>
      <c r="Q548" s="218"/>
      <c r="R548" s="138"/>
    </row>
    <row r="549" spans="1:18">
      <c r="A549" s="1485"/>
      <c r="B549" s="1482"/>
      <c r="C549" s="980"/>
      <c r="D549" s="973" t="s">
        <v>825</v>
      </c>
      <c r="E549" s="218">
        <v>0</v>
      </c>
      <c r="F549" s="218">
        <v>0</v>
      </c>
      <c r="G549" s="218">
        <v>0</v>
      </c>
      <c r="H549" s="218">
        <v>0</v>
      </c>
      <c r="I549" s="218">
        <v>0</v>
      </c>
      <c r="J549" s="218">
        <v>0</v>
      </c>
      <c r="K549" s="218">
        <v>0</v>
      </c>
      <c r="L549" s="218">
        <v>0</v>
      </c>
      <c r="M549" s="218">
        <v>0</v>
      </c>
      <c r="N549" s="218">
        <v>0</v>
      </c>
      <c r="O549" s="218">
        <v>0</v>
      </c>
      <c r="P549" s="977">
        <v>0</v>
      </c>
      <c r="Q549" s="560"/>
      <c r="R549" s="138"/>
    </row>
    <row r="550" spans="1:18">
      <c r="A550" s="1485"/>
      <c r="B550" s="1482"/>
      <c r="C550" s="980"/>
      <c r="D550" s="853" t="s">
        <v>858</v>
      </c>
      <c r="E550" s="1210">
        <f>M507*M358</f>
        <v>0.69080739583333328</v>
      </c>
      <c r="F550" s="1210">
        <f>M508*M359</f>
        <v>0.93108822916666656</v>
      </c>
      <c r="G550" s="138">
        <f>M509*M360</f>
        <v>1.2614743750000001</v>
      </c>
      <c r="H550" s="1210">
        <f>M510*M361</f>
        <v>1.7120009374999998</v>
      </c>
      <c r="I550" s="138">
        <f>M511*M362</f>
        <v>2.4328434374999999</v>
      </c>
      <c r="J550" s="1210">
        <f>M512*M363</f>
        <v>2.9434402083333335</v>
      </c>
      <c r="K550" s="138">
        <f>M513*M364</f>
        <v>2.8533348958333331</v>
      </c>
      <c r="L550" s="1210">
        <f>M514*M365</f>
        <v>2.0423870833333329</v>
      </c>
      <c r="M550" s="138">
        <f>M515*M366</f>
        <v>1.3816147916666666</v>
      </c>
      <c r="N550" s="1210">
        <f>M516*M367</f>
        <v>1.0512286458333333</v>
      </c>
      <c r="O550" s="138">
        <f>M517*M368</f>
        <v>0.7508776041666666</v>
      </c>
      <c r="P550" s="1210">
        <f>M518*M369</f>
        <v>0.63073718750000007</v>
      </c>
      <c r="Q550" s="560"/>
      <c r="R550" s="138"/>
    </row>
    <row r="551" spans="1:18">
      <c r="A551" s="1485"/>
      <c r="B551" s="1482"/>
      <c r="C551" s="981"/>
      <c r="D551" s="852" t="s">
        <v>631</v>
      </c>
      <c r="E551" s="1211">
        <f>M507*M372</f>
        <v>0.69080739583333328</v>
      </c>
      <c r="F551" s="1211">
        <f>M508*M373</f>
        <v>0.93108822916666656</v>
      </c>
      <c r="G551" s="227">
        <f>M509*M374</f>
        <v>1.2614743750000001</v>
      </c>
      <c r="H551" s="1211">
        <f>M510*M375</f>
        <v>1.7120009374999998</v>
      </c>
      <c r="I551" s="227">
        <f>M511*M376</f>
        <v>2.4328434374999999</v>
      </c>
      <c r="J551" s="1211">
        <f>M512*M377</f>
        <v>2.9434402083333335</v>
      </c>
      <c r="K551" s="227">
        <f>M513*M378</f>
        <v>2.8533348958333331</v>
      </c>
      <c r="L551" s="1211">
        <f>M514*M379</f>
        <v>2.0423870833333329</v>
      </c>
      <c r="M551" s="227">
        <f>M515*M380</f>
        <v>1.3816147916666666</v>
      </c>
      <c r="N551" s="1211">
        <f>M516*M381</f>
        <v>1.0512286458333333</v>
      </c>
      <c r="O551" s="227">
        <f>M517*M382</f>
        <v>0.7508776041666666</v>
      </c>
      <c r="P551" s="1211">
        <f>M518*M383</f>
        <v>0.63073718750000007</v>
      </c>
      <c r="Q551" s="560"/>
      <c r="R551" s="138"/>
    </row>
    <row r="552" spans="1:18">
      <c r="A552" s="1485"/>
      <c r="B552" s="1482"/>
      <c r="C552" s="980" t="s">
        <v>587</v>
      </c>
      <c r="D552" s="973" t="s">
        <v>592</v>
      </c>
      <c r="E552" s="977">
        <f>$M$507*$I$182</f>
        <v>1.2517448085941756E-2</v>
      </c>
      <c r="F552" s="977">
        <f>M508*$I$182</f>
        <v>1.6871343072356281E-2</v>
      </c>
      <c r="G552" s="977">
        <f>M509*$I$182</f>
        <v>2.2857948678676254E-2</v>
      </c>
      <c r="H552" s="977">
        <f>M510*$I$182</f>
        <v>3.1021501778203484E-2</v>
      </c>
      <c r="I552" s="977">
        <f>M511*$I$182</f>
        <v>4.4083186737447058E-2</v>
      </c>
      <c r="J552" s="977">
        <f>M512*$I$182</f>
        <v>5.3335213583577921E-2</v>
      </c>
      <c r="K552" s="977">
        <f>M513*$I$182</f>
        <v>5.1702502963672473E-2</v>
      </c>
      <c r="L552" s="977">
        <f>M514*$I$182</f>
        <v>3.7008107384523453E-2</v>
      </c>
      <c r="M552" s="977">
        <f>M515*$I$182</f>
        <v>2.5034896171883512E-2</v>
      </c>
      <c r="N552" s="977">
        <f>M516*$I$182</f>
        <v>1.9048290565563543E-2</v>
      </c>
      <c r="O552" s="977">
        <f>M517*$I$182</f>
        <v>1.3605921832545389E-2</v>
      </c>
      <c r="P552" s="977">
        <f>M518*$I$182</f>
        <v>1.1428974339338127E-2</v>
      </c>
      <c r="Q552" s="218"/>
      <c r="R552" s="138"/>
    </row>
    <row r="553" spans="1:18">
      <c r="A553" s="1485"/>
      <c r="B553" s="1482"/>
      <c r="C553" s="980"/>
      <c r="D553" s="973" t="s">
        <v>834</v>
      </c>
      <c r="E553" s="218">
        <v>0</v>
      </c>
      <c r="F553" s="218">
        <v>0</v>
      </c>
      <c r="G553" s="218">
        <v>0</v>
      </c>
      <c r="H553" s="218">
        <v>0</v>
      </c>
      <c r="I553" s="218">
        <v>0</v>
      </c>
      <c r="J553" s="218">
        <v>0</v>
      </c>
      <c r="K553" s="218">
        <v>0</v>
      </c>
      <c r="L553" s="218">
        <v>0</v>
      </c>
      <c r="M553" s="218">
        <v>0</v>
      </c>
      <c r="N553" s="218">
        <v>0</v>
      </c>
      <c r="O553" s="218">
        <v>0</v>
      </c>
      <c r="P553" s="977">
        <v>0</v>
      </c>
      <c r="Q553" s="560"/>
      <c r="R553" s="138"/>
    </row>
    <row r="554" spans="1:18">
      <c r="A554" s="1485"/>
      <c r="B554" s="1482"/>
      <c r="C554" s="981"/>
      <c r="D554" s="854" t="s">
        <v>859</v>
      </c>
      <c r="E554" s="218">
        <f>M507*M386</f>
        <v>0.69080739583333328</v>
      </c>
      <c r="F554" s="1210">
        <f>M508*M387</f>
        <v>0.93108822916666656</v>
      </c>
      <c r="G554" s="138">
        <f>M509*M388</f>
        <v>1.2614743750000001</v>
      </c>
      <c r="H554" s="1210">
        <f>M510*M389</f>
        <v>1.7120009374999998</v>
      </c>
      <c r="I554" s="138">
        <f>M511*M390</f>
        <v>2.4328434374999999</v>
      </c>
      <c r="J554" s="1210">
        <f>M512*M391</f>
        <v>2.9434402083333335</v>
      </c>
      <c r="K554" s="138">
        <f>M513*M392</f>
        <v>2.8533348958333331</v>
      </c>
      <c r="L554" s="1210">
        <f>M514*M393</f>
        <v>2.0423870833333329</v>
      </c>
      <c r="M554" s="138">
        <f>M515*M394</f>
        <v>1.3816147916666666</v>
      </c>
      <c r="N554" s="1210">
        <f>M516*M395</f>
        <v>1.0512286458333333</v>
      </c>
      <c r="O554" s="138">
        <f>M517*M396</f>
        <v>0.7508776041666666</v>
      </c>
      <c r="P554" s="1210">
        <f>M518*M397</f>
        <v>0.63073718750000007</v>
      </c>
      <c r="Q554" s="560"/>
      <c r="R554" s="138"/>
    </row>
    <row r="555" spans="1:18">
      <c r="A555" s="1485"/>
      <c r="B555" s="1482"/>
      <c r="C555" s="979" t="s">
        <v>20</v>
      </c>
      <c r="D555" s="971" t="s">
        <v>595</v>
      </c>
      <c r="E555" s="808">
        <f>$M$507*$I$184</f>
        <v>2.2218470352546617E-2</v>
      </c>
      <c r="F555" s="808">
        <f>M508*$I$184</f>
        <v>2.9946633953432396E-2</v>
      </c>
      <c r="G555" s="808">
        <f>M509*$I$184</f>
        <v>4.0572858904650351E-2</v>
      </c>
      <c r="H555" s="808">
        <f>M510*$I$184</f>
        <v>5.5063165656311183E-2</v>
      </c>
      <c r="I555" s="808">
        <f>M511*$I$184</f>
        <v>7.8247656458968529E-2</v>
      </c>
      <c r="J555" s="808">
        <f>M512*$I$184</f>
        <v>9.4670004110850817E-2</v>
      </c>
      <c r="K555" s="808">
        <f>M513*$I$184</f>
        <v>9.1771942760518643E-2</v>
      </c>
      <c r="L555" s="808">
        <f>M514*$I$184</f>
        <v>6.5689390607529125E-2</v>
      </c>
      <c r="M555" s="808">
        <f>M515*$I$184</f>
        <v>4.4436940705093235E-2</v>
      </c>
      <c r="N555" s="808">
        <f>M516*$I$184</f>
        <v>3.3810715753875287E-2</v>
      </c>
      <c r="O555" s="808">
        <f>M517*$I$184</f>
        <v>2.4150511252768063E-2</v>
      </c>
      <c r="P555" s="976">
        <f>M518*$I$184</f>
        <v>2.0286429452325175E-2</v>
      </c>
      <c r="Q555" s="560"/>
      <c r="R555" s="138"/>
    </row>
    <row r="556" spans="1:18">
      <c r="A556" s="1485"/>
      <c r="B556" s="1482"/>
      <c r="C556" s="991"/>
      <c r="D556" s="973" t="s">
        <v>589</v>
      </c>
      <c r="E556" s="218">
        <f>$L$507*$I$185</f>
        <v>5.6078167425019074E-2</v>
      </c>
      <c r="F556" s="218">
        <f>L508*$I$185</f>
        <v>7.1099105128149181E-2</v>
      </c>
      <c r="G556" s="218">
        <f>L509*$I$185</f>
        <v>0.10013958468753406</v>
      </c>
      <c r="H556" s="218">
        <f>L510*$I$185</f>
        <v>0.12317168916566691</v>
      </c>
      <c r="I556" s="218">
        <f>L511*$I$185</f>
        <v>0.14420100195004906</v>
      </c>
      <c r="J556" s="218">
        <f>L512*$I$185</f>
        <v>0.15721914795942848</v>
      </c>
      <c r="K556" s="218">
        <f>L513*$I$185</f>
        <v>0.17424287735630928</v>
      </c>
      <c r="L556" s="218">
        <f>L514*$I$185</f>
        <v>0.15822054380630382</v>
      </c>
      <c r="M556" s="218">
        <f>L515*$I$185</f>
        <v>0.12217029331879156</v>
      </c>
      <c r="N556" s="218">
        <f>L516*$I$185</f>
        <v>8.9124230371905325E-2</v>
      </c>
      <c r="O556" s="218">
        <f>L517*$I$185</f>
        <v>6.2086542506271117E-2</v>
      </c>
      <c r="P556" s="977">
        <f>L518*$I$185</f>
        <v>4.9068396496891695E-2</v>
      </c>
      <c r="Q556" s="560"/>
      <c r="R556" s="138"/>
    </row>
    <row r="557" spans="1:18">
      <c r="A557" s="1485"/>
      <c r="B557" s="1482"/>
      <c r="C557" s="991"/>
      <c r="D557" s="973" t="s">
        <v>621</v>
      </c>
      <c r="E557" s="218">
        <f>$L$507*$I$181</f>
        <v>0</v>
      </c>
      <c r="F557" s="977">
        <f>$L$508*$I$181</f>
        <v>0</v>
      </c>
      <c r="G557" s="138">
        <f>$L$509*$I$181</f>
        <v>0</v>
      </c>
      <c r="H557" s="977">
        <f>$L$510*$I$181</f>
        <v>0</v>
      </c>
      <c r="I557" s="138">
        <f>$L$511*$I$181</f>
        <v>0</v>
      </c>
      <c r="J557" s="977">
        <f>$L$512*$I$181</f>
        <v>0</v>
      </c>
      <c r="K557" s="138">
        <f>$L$513*$I$181</f>
        <v>0</v>
      </c>
      <c r="L557" s="977">
        <f>$L$514*$I$181</f>
        <v>0</v>
      </c>
      <c r="M557" s="138">
        <f>$L$515*$I$181</f>
        <v>0</v>
      </c>
      <c r="N557" s="977">
        <f>$L$516*$I$181</f>
        <v>0</v>
      </c>
      <c r="O557" s="138">
        <f>$L$517*$I$181</f>
        <v>0</v>
      </c>
      <c r="P557" s="977">
        <f>$L$518*$I$181</f>
        <v>0</v>
      </c>
      <c r="Q557" s="560"/>
      <c r="R557" s="138"/>
    </row>
    <row r="558" spans="1:18">
      <c r="A558" s="1485"/>
      <c r="B558" s="1482"/>
      <c r="C558" s="991"/>
      <c r="D558" s="849" t="s">
        <v>631</v>
      </c>
      <c r="E558" s="218">
        <f>M507*M400</f>
        <v>0.69080739583333328</v>
      </c>
      <c r="F558" s="1210">
        <f>M508*M401</f>
        <v>0.93108822916666656</v>
      </c>
      <c r="G558" s="138">
        <f>M509*M402</f>
        <v>1.2614743750000001</v>
      </c>
      <c r="H558" s="1210">
        <f>M510*M403</f>
        <v>1.7120009374999998</v>
      </c>
      <c r="I558" s="138">
        <f>M511*M404</f>
        <v>2.4328434374999999</v>
      </c>
      <c r="J558" s="1210">
        <f>M512*M405</f>
        <v>2.9434402083333335</v>
      </c>
      <c r="K558" s="138">
        <f>M513*M406</f>
        <v>2.8533348958333331</v>
      </c>
      <c r="L558" s="1210">
        <f>M514*M407</f>
        <v>2.0423870833333329</v>
      </c>
      <c r="M558" s="138">
        <f>M515*M408</f>
        <v>1.3816147916666666</v>
      </c>
      <c r="N558" s="1210">
        <f>M516*M409</f>
        <v>1.0512286458333333</v>
      </c>
      <c r="O558" s="138">
        <f>M517*M410</f>
        <v>0.7508776041666666</v>
      </c>
      <c r="P558" s="1210">
        <f>M518*M411</f>
        <v>0.63073718750000007</v>
      </c>
      <c r="Q558" s="560"/>
      <c r="R558" s="138"/>
    </row>
    <row r="559" spans="1:18">
      <c r="A559" s="1485"/>
      <c r="B559" s="1482"/>
      <c r="C559" s="991"/>
      <c r="D559" s="851" t="s">
        <v>859</v>
      </c>
      <c r="E559" s="218">
        <f>L507*M414</f>
        <v>1.6819658333333332</v>
      </c>
      <c r="F559" s="1210">
        <f>L508*M415</f>
        <v>2.1324923958333333</v>
      </c>
      <c r="G559" s="138">
        <f>L509*M416</f>
        <v>3.0035104166666664</v>
      </c>
      <c r="H559" s="1210">
        <f>L510*M417</f>
        <v>3.6943178125</v>
      </c>
      <c r="I559" s="138">
        <f>L511*M418</f>
        <v>4.3250549999999999</v>
      </c>
      <c r="J559" s="1210">
        <f>L512*M419</f>
        <v>4.715511354166666</v>
      </c>
      <c r="K559" s="138">
        <f>L513*M420</f>
        <v>5.2261081249999997</v>
      </c>
      <c r="L559" s="1210">
        <f>L514*M421</f>
        <v>4.7455464583333322</v>
      </c>
      <c r="M559" s="138">
        <f>L515*M422</f>
        <v>3.6642827083333334</v>
      </c>
      <c r="N559" s="1210">
        <f>L516*M423</f>
        <v>2.6731242708333331</v>
      </c>
      <c r="O559" s="138">
        <f>L517*M424</f>
        <v>1.8621764583333327</v>
      </c>
      <c r="P559" s="1210">
        <f>L518*M425</f>
        <v>1.4717201041666668</v>
      </c>
      <c r="Q559" s="560"/>
      <c r="R559" s="138"/>
    </row>
    <row r="560" spans="1:18">
      <c r="A560" s="1485"/>
      <c r="B560" s="1482"/>
      <c r="C560" s="865"/>
      <c r="D560" s="940" t="s">
        <v>858</v>
      </c>
      <c r="E560" s="210">
        <f>L507*M428</f>
        <v>1.6819658333333332</v>
      </c>
      <c r="F560" s="1216">
        <f>L508*M429</f>
        <v>2.1324923958333333</v>
      </c>
      <c r="G560" s="227">
        <f>L509*M430</f>
        <v>3.0035104166666664</v>
      </c>
      <c r="H560" s="1216">
        <f>L510*M431</f>
        <v>3.6943178125</v>
      </c>
      <c r="I560" s="227">
        <f>L511*M432</f>
        <v>4.3250549999999999</v>
      </c>
      <c r="J560" s="1216">
        <f>L512*M433</f>
        <v>4.715511354166666</v>
      </c>
      <c r="K560" s="227">
        <f>L513*M434</f>
        <v>5.2261081249999997</v>
      </c>
      <c r="L560" s="1216">
        <f>L514*M435</f>
        <v>4.7455464583333322</v>
      </c>
      <c r="M560" s="227">
        <f>L515*M436</f>
        <v>3.6642827083333334</v>
      </c>
      <c r="N560" s="1216">
        <f>L516*M437</f>
        <v>2.6731242708333331</v>
      </c>
      <c r="O560" s="227">
        <f>L517*M438</f>
        <v>1.8621764583333327</v>
      </c>
      <c r="P560" s="1216">
        <f>L518*M439</f>
        <v>1.4717201041666668</v>
      </c>
      <c r="Q560" s="560"/>
      <c r="R560" s="138"/>
    </row>
    <row r="561" spans="1:19">
      <c r="A561" s="1485"/>
      <c r="B561" s="1482"/>
      <c r="C561" s="980" t="s">
        <v>586</v>
      </c>
      <c r="D561" s="973" t="s">
        <v>594</v>
      </c>
      <c r="E561" s="218">
        <f>$L$507*$I$187</f>
        <v>4.3582488814009383E-2</v>
      </c>
      <c r="F561" s="218">
        <f>L508*$I$187</f>
        <v>5.5256369746333328E-2</v>
      </c>
      <c r="G561" s="218">
        <f>L509*$I$187</f>
        <v>7.7825872882159614E-2</v>
      </c>
      <c r="H561" s="218">
        <f>L510*$I$187</f>
        <v>9.5725823645056343E-2</v>
      </c>
      <c r="I561" s="218">
        <f>L511*$I$187</f>
        <v>0.11206925695030985</v>
      </c>
      <c r="J561" s="218">
        <f>L512*$I$187</f>
        <v>0.12218662042499059</v>
      </c>
      <c r="K561" s="218">
        <f>L513*$I$187</f>
        <v>0.13541701881495774</v>
      </c>
      <c r="L561" s="218">
        <f>L514*$I$187</f>
        <v>0.12296487915381218</v>
      </c>
      <c r="M561" s="218">
        <f>L515*$I$187</f>
        <v>9.4947564916234739E-2</v>
      </c>
      <c r="N561" s="218">
        <f>L516*$I$187</f>
        <v>6.9265026865122065E-2</v>
      </c>
      <c r="O561" s="218">
        <f>L517*$I$187</f>
        <v>4.825204118693896E-2</v>
      </c>
      <c r="P561" s="976">
        <f>L518*$I$187</f>
        <v>3.8134677712258216E-2</v>
      </c>
      <c r="Q561" s="560"/>
      <c r="R561" s="138"/>
      <c r="S561" s="138"/>
    </row>
    <row r="562" spans="1:19">
      <c r="A562" s="1485"/>
      <c r="B562" s="1482"/>
      <c r="C562" s="991"/>
      <c r="D562" s="973" t="s">
        <v>826</v>
      </c>
      <c r="E562" s="218">
        <v>0</v>
      </c>
      <c r="F562" s="218">
        <v>0</v>
      </c>
      <c r="G562" s="218">
        <v>0</v>
      </c>
      <c r="H562" s="218">
        <v>0</v>
      </c>
      <c r="I562" s="218">
        <v>0</v>
      </c>
      <c r="J562" s="218">
        <v>0</v>
      </c>
      <c r="K562" s="218">
        <v>0</v>
      </c>
      <c r="L562" s="218">
        <v>0</v>
      </c>
      <c r="M562" s="218">
        <v>0</v>
      </c>
      <c r="N562" s="218">
        <v>0</v>
      </c>
      <c r="O562" s="218">
        <v>0</v>
      </c>
      <c r="P562" s="977">
        <v>0</v>
      </c>
      <c r="Q562" s="560"/>
      <c r="R562" s="138"/>
    </row>
    <row r="563" spans="1:19">
      <c r="A563" s="1485"/>
      <c r="B563" s="1482"/>
      <c r="C563" s="865"/>
      <c r="D563" s="854" t="s">
        <v>859</v>
      </c>
      <c r="E563" s="210">
        <f>L507*M442</f>
        <v>1.6819658333333332</v>
      </c>
      <c r="F563" s="1216">
        <f>L508*M443</f>
        <v>2.1324923958333333</v>
      </c>
      <c r="G563" s="227">
        <f>L509*M444</f>
        <v>3.0035104166666664</v>
      </c>
      <c r="H563" s="1216">
        <f>L510*M445</f>
        <v>3.6943178125</v>
      </c>
      <c r="I563" s="227">
        <f>L511*M446</f>
        <v>4.3250549999999999</v>
      </c>
      <c r="J563" s="1216">
        <f>L512*M447</f>
        <v>4.715511354166666</v>
      </c>
      <c r="K563" s="227">
        <f>L513*M448</f>
        <v>5.2261081249999997</v>
      </c>
      <c r="L563" s="1216">
        <f>L514*M449</f>
        <v>4.7455464583333322</v>
      </c>
      <c r="M563" s="227">
        <f>L515*M450</f>
        <v>3.6642827083333334</v>
      </c>
      <c r="N563" s="1216">
        <f>L516*M451</f>
        <v>2.6731242708333331</v>
      </c>
      <c r="O563" s="227">
        <f>L517*M452</f>
        <v>1.8621764583333327</v>
      </c>
      <c r="P563" s="1216">
        <f>L518*M453</f>
        <v>1.4717201041666668</v>
      </c>
      <c r="Q563" s="560"/>
      <c r="R563" s="138"/>
    </row>
    <row r="564" spans="1:19">
      <c r="A564" s="1485"/>
      <c r="B564" s="1482"/>
      <c r="C564" s="979" t="s">
        <v>19</v>
      </c>
      <c r="D564" s="971" t="s">
        <v>599</v>
      </c>
      <c r="E564" s="808">
        <f>$L$507*$I$189</f>
        <v>4.8916010172367172E-2</v>
      </c>
      <c r="F564" s="808">
        <f>L508*$I$187</f>
        <v>5.5256369746333328E-2</v>
      </c>
      <c r="G564" s="808">
        <f>L509*$I$187</f>
        <v>7.7825872882159614E-2</v>
      </c>
      <c r="H564" s="808">
        <f>L510*$I$187</f>
        <v>9.5725823645056343E-2</v>
      </c>
      <c r="I564" s="808">
        <f>L511*$I$187</f>
        <v>0.11206925695030985</v>
      </c>
      <c r="J564" s="808">
        <f>L512*$I$187</f>
        <v>0.12218662042499059</v>
      </c>
      <c r="K564" s="808">
        <f>L513*$I$187</f>
        <v>0.13541701881495774</v>
      </c>
      <c r="L564" s="808">
        <f>L514*$I$187</f>
        <v>0.12296487915381218</v>
      </c>
      <c r="M564" s="808">
        <f>L515*$I$187</f>
        <v>9.4947564916234739E-2</v>
      </c>
      <c r="N564" s="808">
        <f>L516*$I$187</f>
        <v>6.9265026865122065E-2</v>
      </c>
      <c r="O564" s="808">
        <f>L517*$I$187</f>
        <v>4.825204118693896E-2</v>
      </c>
      <c r="P564" s="976">
        <f>L518*$I$187</f>
        <v>3.8134677712258216E-2</v>
      </c>
      <c r="Q564" s="560"/>
      <c r="R564" s="138"/>
    </row>
    <row r="565" spans="1:19" ht="15" customHeight="1">
      <c r="A565" s="1485"/>
      <c r="B565" s="1482"/>
      <c r="C565" s="991"/>
      <c r="D565" s="973" t="s">
        <v>828</v>
      </c>
      <c r="E565" s="218">
        <v>0</v>
      </c>
      <c r="F565" s="977">
        <v>0</v>
      </c>
      <c r="G565" s="138">
        <v>0</v>
      </c>
      <c r="H565" s="977">
        <v>0</v>
      </c>
      <c r="I565" s="977">
        <v>0</v>
      </c>
      <c r="J565" s="138">
        <v>0</v>
      </c>
      <c r="K565" s="977">
        <v>0</v>
      </c>
      <c r="L565" s="138">
        <v>0</v>
      </c>
      <c r="M565" s="977">
        <v>0</v>
      </c>
      <c r="N565" s="138">
        <v>0</v>
      </c>
      <c r="O565" s="977">
        <v>0</v>
      </c>
      <c r="P565" s="800">
        <v>0</v>
      </c>
      <c r="Q565" s="560"/>
      <c r="R565" s="138"/>
    </row>
    <row r="566" spans="1:19">
      <c r="A566" s="1485"/>
      <c r="B566" s="1482"/>
      <c r="C566" s="991"/>
      <c r="D566" s="973" t="s">
        <v>620</v>
      </c>
      <c r="E566" s="218">
        <v>0</v>
      </c>
      <c r="F566" s="977">
        <v>0</v>
      </c>
      <c r="G566" s="138">
        <v>0</v>
      </c>
      <c r="H566" s="977">
        <v>0</v>
      </c>
      <c r="I566" s="977">
        <v>0</v>
      </c>
      <c r="J566" s="138">
        <v>0</v>
      </c>
      <c r="K566" s="977">
        <v>0</v>
      </c>
      <c r="L566" s="138">
        <v>0</v>
      </c>
      <c r="M566" s="977">
        <v>0</v>
      </c>
      <c r="N566" s="138">
        <v>0</v>
      </c>
      <c r="O566" s="977">
        <v>0</v>
      </c>
      <c r="P566" s="800">
        <v>0</v>
      </c>
      <c r="Q566" s="560"/>
      <c r="R566" s="138"/>
    </row>
    <row r="567" spans="1:19">
      <c r="A567" s="1485"/>
      <c r="B567" s="1483"/>
      <c r="C567" s="871"/>
      <c r="D567" s="852" t="s">
        <v>631</v>
      </c>
      <c r="E567" s="1216">
        <f>L507*M456</f>
        <v>1.6819658333333332</v>
      </c>
      <c r="F567" s="227">
        <f>L508*M457</f>
        <v>2.1324923958333333</v>
      </c>
      <c r="G567" s="1216">
        <f>L509*M458</f>
        <v>3.0035104166666664</v>
      </c>
      <c r="H567" s="227">
        <f>L510*M459</f>
        <v>3.6943178125</v>
      </c>
      <c r="I567" s="1216">
        <f>L511*M460</f>
        <v>4.3250549999999999</v>
      </c>
      <c r="J567" s="227">
        <f>L512*M461</f>
        <v>4.715511354166666</v>
      </c>
      <c r="K567" s="1216">
        <f>L513*M462</f>
        <v>5.2261081249999997</v>
      </c>
      <c r="L567" s="227">
        <f>L514*M463</f>
        <v>4.7455464583333322</v>
      </c>
      <c r="M567" s="1216">
        <f>L515*M464</f>
        <v>3.6642827083333334</v>
      </c>
      <c r="N567" s="1216">
        <f>L516*M465</f>
        <v>2.6731242708333331</v>
      </c>
      <c r="O567" s="1216">
        <f>L517*M466</f>
        <v>1.8621764583333327</v>
      </c>
      <c r="P567" s="801">
        <f>L518*M467</f>
        <v>1.4717201041666668</v>
      </c>
      <c r="Q567" s="560"/>
      <c r="R567" s="138"/>
    </row>
    <row r="568" spans="1:19">
      <c r="A568" s="1485"/>
      <c r="B568" s="1372" t="s">
        <v>810</v>
      </c>
      <c r="C568" s="979" t="s">
        <v>9</v>
      </c>
      <c r="D568" s="972" t="s">
        <v>600</v>
      </c>
      <c r="E568" s="976">
        <f>$L$507*$I$192</f>
        <v>5.0287487093087745E-2</v>
      </c>
      <c r="F568" s="976">
        <f>L508*$I$192</f>
        <v>6.3757349707307689E-2</v>
      </c>
      <c r="G568" s="976">
        <f>L509*$I$192</f>
        <v>8.9799084094799558E-2</v>
      </c>
      <c r="H568" s="976">
        <f>L510*$I$192</f>
        <v>0.11045287343660347</v>
      </c>
      <c r="I568" s="976">
        <f>L511*$I$192</f>
        <v>0.12931068109651137</v>
      </c>
      <c r="J568" s="976">
        <f>L512*$I$192</f>
        <v>0.1409845620288353</v>
      </c>
      <c r="K568" s="976">
        <f>L513*$I$192</f>
        <v>0.15625040632495121</v>
      </c>
      <c r="L568" s="976">
        <f>L514*$I$192</f>
        <v>0.1418825528697833</v>
      </c>
      <c r="M568" s="976">
        <f>L515*$I$192</f>
        <v>0.10955488259565546</v>
      </c>
      <c r="N568" s="976">
        <f>L516*$I$192</f>
        <v>7.9921184844371607E-2</v>
      </c>
      <c r="O568" s="976">
        <f>L517*$I$192</f>
        <v>5.5675432138775724E-2</v>
      </c>
      <c r="P568" s="976">
        <f>L518*$I$192</f>
        <v>4.4001551206451786E-2</v>
      </c>
      <c r="Q568" s="560"/>
      <c r="R568" s="138"/>
    </row>
    <row r="569" spans="1:19">
      <c r="A569" s="1485"/>
      <c r="B569" s="1373"/>
      <c r="C569" s="980"/>
      <c r="D569" s="974" t="s">
        <v>846</v>
      </c>
      <c r="E569" s="977">
        <f>$N$507*$I$193</f>
        <v>5.3825026769549547E-2</v>
      </c>
      <c r="F569" s="977">
        <f>N508*$I$193</f>
        <v>5.9090518518744618E-2</v>
      </c>
      <c r="G569" s="977">
        <f>N509*$I$193</f>
        <v>7.0791611294733645E-2</v>
      </c>
      <c r="H569" s="977">
        <f>N510*$I$193</f>
        <v>7.3131829849931468E-2</v>
      </c>
      <c r="I569" s="977">
        <f>N511*$I$193</f>
        <v>7.4886993766329818E-2</v>
      </c>
      <c r="J569" s="977">
        <f>N512*$I$193</f>
        <v>7.6057103043928709E-2</v>
      </c>
      <c r="K569" s="977">
        <f>N513*$I$193</f>
        <v>8.5417977264719946E-2</v>
      </c>
      <c r="L569" s="977">
        <f>N514*$I$193</f>
        <v>8.8343250458717201E-2</v>
      </c>
      <c r="M569" s="977">
        <f>N515*$I$193</f>
        <v>8.0737540154324342E-2</v>
      </c>
      <c r="N569" s="977">
        <f>N516*$I$193</f>
        <v>7.0791611294733645E-2</v>
      </c>
      <c r="O569" s="977">
        <f>N517*$I$193</f>
        <v>5.7335354602346268E-2</v>
      </c>
      <c r="P569" s="977">
        <f>N518*$I$193</f>
        <v>4.7974480381555024E-2</v>
      </c>
      <c r="Q569" s="560"/>
      <c r="R569" s="138"/>
      <c r="S569" s="9"/>
    </row>
    <row r="570" spans="1:19">
      <c r="A570" s="1485"/>
      <c r="B570" s="1373"/>
      <c r="C570" s="980"/>
      <c r="D570" s="974" t="s">
        <v>816</v>
      </c>
      <c r="E570" s="218">
        <v>0</v>
      </c>
      <c r="F570" s="977">
        <v>0</v>
      </c>
      <c r="G570" s="138">
        <v>0</v>
      </c>
      <c r="H570" s="977">
        <v>0</v>
      </c>
      <c r="I570" s="977">
        <v>0</v>
      </c>
      <c r="J570" s="138">
        <v>0</v>
      </c>
      <c r="K570" s="977">
        <v>0</v>
      </c>
      <c r="L570" s="138">
        <v>0</v>
      </c>
      <c r="M570" s="977">
        <v>0</v>
      </c>
      <c r="N570" s="138">
        <v>0</v>
      </c>
      <c r="O570" s="977">
        <v>0</v>
      </c>
      <c r="P570" s="800">
        <v>0</v>
      </c>
      <c r="Q570" s="560"/>
      <c r="R570" s="138"/>
      <c r="S570" s="9"/>
    </row>
    <row r="571" spans="1:19">
      <c r="A571" s="1485"/>
      <c r="B571" s="1373"/>
      <c r="C571" s="981"/>
      <c r="D571" s="939" t="s">
        <v>618</v>
      </c>
      <c r="E571" s="1216">
        <f>N507*AA315</f>
        <v>2.7632295833333331</v>
      </c>
      <c r="F571" s="1216">
        <f>N508*AA316</f>
        <v>3.0335455208333331</v>
      </c>
      <c r="G571" s="1216">
        <f>N509*AA317</f>
        <v>3.6342476041666663</v>
      </c>
      <c r="H571" s="1216">
        <f>N510*AA318</f>
        <v>3.7543880208333333</v>
      </c>
      <c r="I571" s="1216">
        <f>N511*AA319</f>
        <v>3.8444933333333333</v>
      </c>
      <c r="J571" s="1216">
        <f>N512*AA320</f>
        <v>3.9045635416666662</v>
      </c>
      <c r="K571" s="1216">
        <f>N513*AA321</f>
        <v>4.3851252083333332</v>
      </c>
      <c r="L571" s="1216">
        <f>N514*AA322</f>
        <v>4.5353007291666669</v>
      </c>
      <c r="M571" s="1216">
        <f>N515*AA323</f>
        <v>4.1448443749999999</v>
      </c>
      <c r="N571" s="1216">
        <f>N516*AA324</f>
        <v>3.6342476041666663</v>
      </c>
      <c r="O571" s="1216">
        <f>N517*AA325</f>
        <v>2.9434402083333326</v>
      </c>
      <c r="P571" s="1216">
        <f>N518*AA326</f>
        <v>2.4628785416666661</v>
      </c>
      <c r="Q571" s="560"/>
      <c r="R571" s="138"/>
      <c r="S571" s="9"/>
    </row>
    <row r="572" spans="1:19" ht="15" customHeight="1">
      <c r="A572" s="1485"/>
      <c r="B572" s="1373"/>
      <c r="C572" s="866" t="s">
        <v>804</v>
      </c>
      <c r="D572" s="973" t="s">
        <v>847</v>
      </c>
      <c r="E572" s="977">
        <f>$N$507*$I$195</f>
        <v>0.12717727255316824</v>
      </c>
      <c r="F572" s="977">
        <f>N508*$I$195</f>
        <v>0.13961852747684775</v>
      </c>
      <c r="G572" s="977">
        <f>N509*$I$195</f>
        <v>0.16726576064057996</v>
      </c>
      <c r="H572" s="977">
        <f>N510*$I$195</f>
        <v>0.17279520727332645</v>
      </c>
      <c r="I572" s="977">
        <f>N511*$I$195</f>
        <v>0.17694229224788627</v>
      </c>
      <c r="J572" s="977">
        <f>N512*$I$195</f>
        <v>0.17970701556425947</v>
      </c>
      <c r="K572" s="977">
        <f>N513*$I$195</f>
        <v>0.20182480209524525</v>
      </c>
      <c r="L572" s="977">
        <f>N514*$I$195</f>
        <v>0.20873661038617833</v>
      </c>
      <c r="M572" s="977">
        <f>N515*$I$195</f>
        <v>0.19076590882975239</v>
      </c>
      <c r="N572" s="977">
        <f>N516*$I$195</f>
        <v>0.16726576064057996</v>
      </c>
      <c r="O572" s="977">
        <f>N517*$I$195</f>
        <v>0.13547144250228793</v>
      </c>
      <c r="P572" s="977">
        <f>N518*$I$195</f>
        <v>0.11335365597130212</v>
      </c>
      <c r="Q572" s="560"/>
      <c r="R572" s="138"/>
      <c r="S572" s="9"/>
    </row>
    <row r="573" spans="1:19">
      <c r="A573" s="1485"/>
      <c r="B573" s="1373"/>
      <c r="C573" s="866"/>
      <c r="D573" s="973" t="s">
        <v>848</v>
      </c>
      <c r="E573" s="977">
        <f>$K$507*$I$196</f>
        <v>0.12392273605082339</v>
      </c>
      <c r="F573" s="977">
        <f>K508*$I$196</f>
        <v>0.12715550307823617</v>
      </c>
      <c r="G573" s="977">
        <f>K509*$I$196</f>
        <v>0.13469862614219935</v>
      </c>
      <c r="H573" s="977">
        <f>K510*$I$196</f>
        <v>0.11530202397772264</v>
      </c>
      <c r="I573" s="977">
        <f>K511*$I$196</f>
        <v>0.10344854487720909</v>
      </c>
      <c r="J573" s="977">
        <f>K512*$I$196</f>
        <v>9.9138188840658711E-2</v>
      </c>
      <c r="K573" s="977">
        <f>K513*$I$196</f>
        <v>0.10775890091375948</v>
      </c>
      <c r="L573" s="977">
        <f>K514*$I$196</f>
        <v>0.12715550307823617</v>
      </c>
      <c r="M573" s="977">
        <f>K515*$I$196</f>
        <v>0.1422417492061625</v>
      </c>
      <c r="N573" s="977">
        <f>K516*$I$196</f>
        <v>0.14762969425185046</v>
      </c>
      <c r="O573" s="977">
        <f>K517*$I$196</f>
        <v>0.13038827010564896</v>
      </c>
      <c r="P573" s="977">
        <f>K518*$I$196</f>
        <v>0.11206925695030986</v>
      </c>
      <c r="Q573" s="560"/>
      <c r="R573" s="138"/>
      <c r="S573" s="138"/>
    </row>
    <row r="574" spans="1:19">
      <c r="A574" s="1485"/>
      <c r="B574" s="1373"/>
      <c r="C574" s="866"/>
      <c r="D574" s="973" t="s">
        <v>815</v>
      </c>
      <c r="E574" s="218">
        <v>0</v>
      </c>
      <c r="F574" s="977">
        <v>0</v>
      </c>
      <c r="G574" s="138">
        <v>0</v>
      </c>
      <c r="H574" s="977">
        <v>0</v>
      </c>
      <c r="I574" s="977">
        <v>0</v>
      </c>
      <c r="J574" s="138">
        <v>0</v>
      </c>
      <c r="K574" s="977">
        <v>0</v>
      </c>
      <c r="L574" s="138">
        <v>0</v>
      </c>
      <c r="M574" s="977">
        <v>0</v>
      </c>
      <c r="N574" s="138">
        <v>0</v>
      </c>
      <c r="O574" s="977">
        <v>0</v>
      </c>
      <c r="P574" s="800">
        <v>0</v>
      </c>
      <c r="Q574" s="560"/>
      <c r="R574" s="138"/>
      <c r="S574" s="138"/>
    </row>
    <row r="575" spans="1:19">
      <c r="A575" s="1485"/>
      <c r="B575" s="1373"/>
      <c r="C575" s="980"/>
      <c r="D575" s="973" t="s">
        <v>850</v>
      </c>
      <c r="E575" s="218">
        <v>0</v>
      </c>
      <c r="F575" s="977">
        <v>0</v>
      </c>
      <c r="G575" s="138">
        <v>0</v>
      </c>
      <c r="H575" s="977">
        <v>0</v>
      </c>
      <c r="I575" s="977">
        <v>0</v>
      </c>
      <c r="J575" s="138">
        <v>0</v>
      </c>
      <c r="K575" s="977">
        <v>0</v>
      </c>
      <c r="L575" s="138">
        <v>0</v>
      </c>
      <c r="M575" s="977">
        <v>0</v>
      </c>
      <c r="N575" s="138">
        <v>0</v>
      </c>
      <c r="O575" s="977">
        <v>0</v>
      </c>
      <c r="P575" s="800">
        <v>0</v>
      </c>
      <c r="Q575" s="560"/>
      <c r="R575" s="138"/>
      <c r="S575" s="138"/>
    </row>
    <row r="576" spans="1:19">
      <c r="A576" s="1485"/>
      <c r="B576" s="1373"/>
      <c r="C576" s="980"/>
      <c r="D576" s="973" t="s">
        <v>849</v>
      </c>
      <c r="E576" s="218">
        <v>0</v>
      </c>
      <c r="F576" s="977">
        <v>0</v>
      </c>
      <c r="G576" s="138">
        <v>0</v>
      </c>
      <c r="H576" s="977">
        <v>0</v>
      </c>
      <c r="I576" s="977">
        <v>0</v>
      </c>
      <c r="J576" s="138">
        <v>0</v>
      </c>
      <c r="K576" s="977">
        <v>0</v>
      </c>
      <c r="L576" s="138">
        <v>0</v>
      </c>
      <c r="M576" s="977">
        <v>0</v>
      </c>
      <c r="N576" s="138">
        <v>0</v>
      </c>
      <c r="O576" s="977">
        <v>0</v>
      </c>
      <c r="P576" s="800">
        <v>0</v>
      </c>
      <c r="Q576" s="560"/>
      <c r="R576" s="138"/>
      <c r="S576" s="138"/>
    </row>
    <row r="577" spans="1:20" ht="15" customHeight="1">
      <c r="A577" s="1485"/>
      <c r="B577" s="1373"/>
      <c r="C577" s="980"/>
      <c r="D577" s="847" t="s">
        <v>619</v>
      </c>
      <c r="E577" s="1215">
        <f>N507*AA329</f>
        <v>2.7632295833333331</v>
      </c>
      <c r="F577" s="1215">
        <f>N508*AA330</f>
        <v>3.0335455208333331</v>
      </c>
      <c r="G577" s="1215">
        <f>N509*AA331</f>
        <v>3.6342476041666663</v>
      </c>
      <c r="H577" s="1215">
        <f>N510*AA332</f>
        <v>3.7543880208333333</v>
      </c>
      <c r="I577" s="1215">
        <f>N511*AA333</f>
        <v>3.8444933333333333</v>
      </c>
      <c r="J577" s="1215">
        <f>N512*AA334</f>
        <v>3.9045635416666662</v>
      </c>
      <c r="K577" s="1215">
        <f>N513*AA335</f>
        <v>4.3851252083333332</v>
      </c>
      <c r="L577" s="1215">
        <f>N514*AA336</f>
        <v>4.5353007291666669</v>
      </c>
      <c r="M577" s="1215">
        <f>N515*AA337</f>
        <v>4.1448443749999999</v>
      </c>
      <c r="N577" s="1215">
        <f>N516*AA338</f>
        <v>3.6342476041666663</v>
      </c>
      <c r="O577" s="1215">
        <f>N517*AA339</f>
        <v>2.9434402083333326</v>
      </c>
      <c r="P577" s="1215">
        <f>N518*AA340</f>
        <v>2.4628785416666661</v>
      </c>
      <c r="Q577" s="560"/>
      <c r="R577" s="138"/>
      <c r="S577" s="138"/>
      <c r="T577" s="138"/>
    </row>
    <row r="578" spans="1:20">
      <c r="A578" s="1485"/>
      <c r="B578" s="1373"/>
      <c r="C578" s="981"/>
      <c r="D578" s="852" t="s">
        <v>631</v>
      </c>
      <c r="E578" s="1216">
        <f>K507*AA343</f>
        <v>4.7599218749999999</v>
      </c>
      <c r="F578" s="1216">
        <f>K508*AA344</f>
        <v>4.8840937499999999</v>
      </c>
      <c r="G578" s="1216">
        <f>K509*AA345</f>
        <v>5.173828125</v>
      </c>
      <c r="H578" s="1216">
        <f>K510*AA346</f>
        <v>4.4287968750000006</v>
      </c>
      <c r="I578" s="1216">
        <f>K511*AA347</f>
        <v>3.9735</v>
      </c>
      <c r="J578" s="1216">
        <f>K512*AA348</f>
        <v>3.8079375</v>
      </c>
      <c r="K578" s="1216">
        <f>K513*AA349</f>
        <v>4.1390624999999996</v>
      </c>
      <c r="L578" s="1216">
        <f>K514*AA350</f>
        <v>4.8840937499999999</v>
      </c>
      <c r="M578" s="1216">
        <f>K515*AA351</f>
        <v>5.4635625000000001</v>
      </c>
      <c r="N578" s="1216">
        <f>K516*AA352</f>
        <v>5.6705156250000002</v>
      </c>
      <c r="O578" s="1216">
        <f>K517*AA353</f>
        <v>5.0082656249999999</v>
      </c>
      <c r="P578" s="1216">
        <f>K518*AA354</f>
        <v>4.3046250000000006</v>
      </c>
      <c r="Q578" s="560"/>
      <c r="R578" s="138"/>
      <c r="S578" s="9"/>
      <c r="T578" s="9"/>
    </row>
    <row r="579" spans="1:20">
      <c r="A579" s="1485"/>
      <c r="B579" s="1373"/>
      <c r="C579" s="980" t="s">
        <v>22</v>
      </c>
      <c r="D579" s="973" t="s">
        <v>828</v>
      </c>
      <c r="E579" s="218">
        <v>0</v>
      </c>
      <c r="F579" s="977">
        <v>0</v>
      </c>
      <c r="G579" s="138">
        <v>0</v>
      </c>
      <c r="H579" s="977">
        <v>0</v>
      </c>
      <c r="I579" s="977">
        <v>0</v>
      </c>
      <c r="J579" s="138">
        <v>0</v>
      </c>
      <c r="K579" s="977">
        <v>0</v>
      </c>
      <c r="L579" s="138">
        <v>0</v>
      </c>
      <c r="M579" s="977">
        <v>0</v>
      </c>
      <c r="N579" s="138">
        <v>0</v>
      </c>
      <c r="O579" s="977">
        <v>0</v>
      </c>
      <c r="P579" s="800">
        <v>0</v>
      </c>
      <c r="Q579" s="560"/>
      <c r="R579" s="138"/>
      <c r="S579" s="9"/>
      <c r="T579" s="9"/>
    </row>
    <row r="580" spans="1:20">
      <c r="A580" s="1485"/>
      <c r="B580" s="1373"/>
      <c r="C580" s="981"/>
      <c r="D580" s="975" t="s">
        <v>822</v>
      </c>
      <c r="E580" s="210">
        <v>0</v>
      </c>
      <c r="F580" s="978">
        <v>0</v>
      </c>
      <c r="G580" s="227">
        <v>0</v>
      </c>
      <c r="H580" s="978">
        <v>0</v>
      </c>
      <c r="I580" s="978">
        <v>0</v>
      </c>
      <c r="J580" s="227">
        <v>0</v>
      </c>
      <c r="K580" s="978">
        <v>0</v>
      </c>
      <c r="L580" s="227">
        <v>0</v>
      </c>
      <c r="M580" s="978">
        <v>0</v>
      </c>
      <c r="N580" s="227">
        <v>0</v>
      </c>
      <c r="O580" s="978">
        <v>0</v>
      </c>
      <c r="P580" s="801">
        <v>0</v>
      </c>
      <c r="Q580" s="560"/>
      <c r="R580" s="138"/>
      <c r="S580" s="9"/>
      <c r="T580" s="9"/>
    </row>
    <row r="581" spans="1:20">
      <c r="A581" s="1485"/>
      <c r="B581" s="1373"/>
      <c r="C581" s="979" t="s">
        <v>803</v>
      </c>
      <c r="D581" s="971" t="s">
        <v>852</v>
      </c>
      <c r="E581" s="218">
        <v>0</v>
      </c>
      <c r="F581" s="977">
        <v>0</v>
      </c>
      <c r="G581" s="138">
        <v>0</v>
      </c>
      <c r="H581" s="977">
        <v>0</v>
      </c>
      <c r="I581" s="977">
        <v>0</v>
      </c>
      <c r="J581" s="138">
        <v>0</v>
      </c>
      <c r="K581" s="977">
        <v>0</v>
      </c>
      <c r="L581" s="138">
        <v>0</v>
      </c>
      <c r="M581" s="977">
        <v>0</v>
      </c>
      <c r="N581" s="138">
        <v>0</v>
      </c>
      <c r="O581" s="977">
        <v>0</v>
      </c>
      <c r="P581" s="800">
        <v>0</v>
      </c>
      <c r="Q581" s="560"/>
      <c r="R581" s="138"/>
      <c r="S581" s="9"/>
      <c r="T581" s="9"/>
    </row>
    <row r="582" spans="1:20">
      <c r="A582" s="1485"/>
      <c r="B582" s="1373"/>
      <c r="C582" s="980"/>
      <c r="D582" s="973" t="s">
        <v>877</v>
      </c>
      <c r="E582" s="218">
        <v>0</v>
      </c>
      <c r="F582" s="977">
        <v>0</v>
      </c>
      <c r="G582" s="138">
        <v>0</v>
      </c>
      <c r="H582" s="977">
        <v>0</v>
      </c>
      <c r="I582" s="977">
        <v>0</v>
      </c>
      <c r="J582" s="138">
        <v>0</v>
      </c>
      <c r="K582" s="977">
        <v>0</v>
      </c>
      <c r="L582" s="138">
        <v>0</v>
      </c>
      <c r="M582" s="977">
        <v>0</v>
      </c>
      <c r="N582" s="138">
        <v>0</v>
      </c>
      <c r="O582" s="977">
        <v>0</v>
      </c>
      <c r="P582" s="800">
        <v>0</v>
      </c>
      <c r="Q582" s="560"/>
      <c r="R582" s="138"/>
      <c r="S582" s="9"/>
      <c r="T582" s="9"/>
    </row>
    <row r="583" spans="1:20">
      <c r="A583" s="1485"/>
      <c r="B583" s="1373"/>
      <c r="C583" s="981"/>
      <c r="D583" s="975" t="s">
        <v>824</v>
      </c>
      <c r="E583" s="210">
        <v>0</v>
      </c>
      <c r="F583" s="978">
        <v>0</v>
      </c>
      <c r="G583" s="227">
        <v>0</v>
      </c>
      <c r="H583" s="978">
        <v>0</v>
      </c>
      <c r="I583" s="978">
        <v>0</v>
      </c>
      <c r="J583" s="227">
        <v>0</v>
      </c>
      <c r="K583" s="978">
        <v>0</v>
      </c>
      <c r="L583" s="227">
        <v>0</v>
      </c>
      <c r="M583" s="978">
        <v>0</v>
      </c>
      <c r="N583" s="227">
        <v>0</v>
      </c>
      <c r="O583" s="978">
        <v>0</v>
      </c>
      <c r="P583" s="801">
        <v>0</v>
      </c>
      <c r="Q583" s="560"/>
      <c r="R583" s="138"/>
      <c r="S583" s="9"/>
      <c r="T583" s="9"/>
    </row>
    <row r="584" spans="1:20">
      <c r="A584" s="1485"/>
      <c r="B584" s="1373"/>
      <c r="C584" s="979" t="s">
        <v>802</v>
      </c>
      <c r="D584" s="971" t="s">
        <v>853</v>
      </c>
      <c r="E584" s="977">
        <f>$K$507*$I$205</f>
        <v>0.10952767075199037</v>
      </c>
      <c r="F584" s="977">
        <f>K508*$I$205</f>
        <v>0.1123849143368249</v>
      </c>
      <c r="G584" s="977">
        <f>K509*$I$205</f>
        <v>0.11905181603477215</v>
      </c>
      <c r="H584" s="977">
        <f>K510*$I$205</f>
        <v>0.10190835452576497</v>
      </c>
      <c r="I584" s="977">
        <f>K511*$I$205</f>
        <v>9.1431794714705E-2</v>
      </c>
      <c r="J584" s="977">
        <f>K512*$I$205</f>
        <v>8.7622136601592293E-2</v>
      </c>
      <c r="K584" s="977">
        <f>K513*$I$205</f>
        <v>9.5241452827817721E-2</v>
      </c>
      <c r="L584" s="977">
        <f>K514*$I$205</f>
        <v>0.1123849143368249</v>
      </c>
      <c r="M584" s="977">
        <f>K515*$I$205</f>
        <v>0.12571871773271939</v>
      </c>
      <c r="N584" s="977">
        <f>K516*$I$205</f>
        <v>0.13048079037411026</v>
      </c>
      <c r="O584" s="977">
        <f>K517*$I$205</f>
        <v>0.11524215792165943</v>
      </c>
      <c r="P584" s="977">
        <f>K518*$I$205</f>
        <v>9.9051110940930442E-2</v>
      </c>
      <c r="Q584" s="974"/>
      <c r="R584" s="138"/>
      <c r="S584" s="9"/>
      <c r="T584" s="9"/>
    </row>
    <row r="585" spans="1:20">
      <c r="A585" s="1485"/>
      <c r="B585" s="1373"/>
      <c r="C585" s="980"/>
      <c r="D585" s="973" t="s">
        <v>825</v>
      </c>
      <c r="E585" s="218">
        <v>0</v>
      </c>
      <c r="F585" s="977">
        <v>0</v>
      </c>
      <c r="G585" s="138">
        <v>0</v>
      </c>
      <c r="H585" s="977">
        <v>0</v>
      </c>
      <c r="I585" s="977">
        <v>0</v>
      </c>
      <c r="J585" s="138">
        <v>0</v>
      </c>
      <c r="K585" s="977">
        <v>0</v>
      </c>
      <c r="L585" s="138">
        <v>0</v>
      </c>
      <c r="M585" s="977">
        <v>0</v>
      </c>
      <c r="N585" s="138">
        <v>0</v>
      </c>
      <c r="O585" s="977">
        <v>0</v>
      </c>
      <c r="P585" s="800">
        <v>0</v>
      </c>
      <c r="Q585" s="560"/>
      <c r="R585" s="138"/>
      <c r="S585" s="9"/>
      <c r="T585" s="9"/>
    </row>
    <row r="586" spans="1:20">
      <c r="A586" s="1485"/>
      <c r="B586" s="1373"/>
      <c r="C586" s="980"/>
      <c r="D586" s="853" t="s">
        <v>858</v>
      </c>
      <c r="E586" s="1215">
        <f>K507*AA357</f>
        <v>4.7599218749999999</v>
      </c>
      <c r="F586" s="1215">
        <f>K508*AA358</f>
        <v>4.8840937499999999</v>
      </c>
      <c r="G586" s="1215">
        <f>K509*AA359</f>
        <v>5.173828125</v>
      </c>
      <c r="H586" s="1215">
        <f>K510*AA360</f>
        <v>4.4287968750000006</v>
      </c>
      <c r="I586" s="1215">
        <f>K511*AA361</f>
        <v>3.9735</v>
      </c>
      <c r="J586" s="1215">
        <f>K512*AA362</f>
        <v>3.8079375</v>
      </c>
      <c r="K586" s="1215">
        <f>K513*AA363</f>
        <v>4.1390624999999996</v>
      </c>
      <c r="L586" s="1215">
        <f>K514*AA364</f>
        <v>4.8840937499999999</v>
      </c>
      <c r="M586" s="1215">
        <f>K515*AA365</f>
        <v>5.4635625000000001</v>
      </c>
      <c r="N586" s="1215">
        <f>K516*AA366</f>
        <v>5.6705156250000002</v>
      </c>
      <c r="O586" s="1215">
        <f>K517*AA367</f>
        <v>5.0082656249999999</v>
      </c>
      <c r="P586" s="1215">
        <f>K518*AA368</f>
        <v>4.3046250000000006</v>
      </c>
      <c r="Q586" s="560"/>
      <c r="R586" s="138"/>
      <c r="S586" s="9"/>
      <c r="T586" s="9"/>
    </row>
    <row r="587" spans="1:20">
      <c r="A587" s="1485"/>
      <c r="B587" s="1373"/>
      <c r="C587" s="981"/>
      <c r="D587" s="852" t="s">
        <v>631</v>
      </c>
      <c r="E587" s="1216">
        <f>K507*AA371</f>
        <v>4.7599218749999999</v>
      </c>
      <c r="F587" s="1216">
        <f>K508*AA372</f>
        <v>4.8840937499999999</v>
      </c>
      <c r="G587" s="1216">
        <f>K509*AA373</f>
        <v>5.173828125</v>
      </c>
      <c r="H587" s="1216">
        <f>K510*AA374</f>
        <v>4.4287968750000006</v>
      </c>
      <c r="I587" s="1216">
        <f>K511*AA375</f>
        <v>3.9735</v>
      </c>
      <c r="J587" s="1216">
        <f>K512*AA376</f>
        <v>3.8079375</v>
      </c>
      <c r="K587" s="1216">
        <f>K513*AA377</f>
        <v>4.1390624999999996</v>
      </c>
      <c r="L587" s="1216">
        <f>K514*AA378</f>
        <v>4.8840937499999999</v>
      </c>
      <c r="M587" s="1216">
        <f>K515*AA379</f>
        <v>5.4635625000000001</v>
      </c>
      <c r="N587" s="1216">
        <f>K516*AA380</f>
        <v>5.6705156250000002</v>
      </c>
      <c r="O587" s="1216">
        <f>K517*AA381</f>
        <v>5.0082656249999999</v>
      </c>
      <c r="P587" s="1216">
        <f>K518*AA382</f>
        <v>4.3046250000000006</v>
      </c>
      <c r="Q587" s="560"/>
      <c r="R587" s="138"/>
      <c r="S587" s="9"/>
      <c r="T587" s="9"/>
    </row>
    <row r="588" spans="1:20">
      <c r="A588" s="1485"/>
      <c r="B588" s="1373"/>
      <c r="C588" s="980" t="s">
        <v>587</v>
      </c>
      <c r="D588" s="973" t="s">
        <v>602</v>
      </c>
      <c r="E588" s="977">
        <f>$K$507*$I$207</f>
        <v>6.2587240429708785E-2</v>
      </c>
      <c r="F588" s="977">
        <f>K508*$I$207</f>
        <v>6.4219951049614227E-2</v>
      </c>
      <c r="G588" s="977">
        <f>K509*$I$207</f>
        <v>6.8029609162726948E-2</v>
      </c>
      <c r="H588" s="977">
        <f>K510*$I$207</f>
        <v>5.8233345443294261E-2</v>
      </c>
      <c r="I588" s="977">
        <f>K511*$I$207</f>
        <v>5.2246739836974289E-2</v>
      </c>
      <c r="J588" s="977">
        <f>K512*$I$207</f>
        <v>5.0069792343767024E-2</v>
      </c>
      <c r="K588" s="977">
        <f>K513*$I$207</f>
        <v>5.4423687330181554E-2</v>
      </c>
      <c r="L588" s="977">
        <f>K514*$I$207</f>
        <v>6.4219951049614227E-2</v>
      </c>
      <c r="M588" s="977">
        <f>K515*$I$207</f>
        <v>7.1839267275839641E-2</v>
      </c>
      <c r="N588" s="977">
        <f>K516*$I$207</f>
        <v>7.456045164234873E-2</v>
      </c>
      <c r="O588" s="977">
        <f>K517*$I$207</f>
        <v>6.5852661669519669E-2</v>
      </c>
      <c r="P588" s="977">
        <f>K518*$I$207</f>
        <v>5.6600634823388826E-2</v>
      </c>
      <c r="Q588" s="560"/>
      <c r="R588" s="138"/>
      <c r="S588" s="9"/>
      <c r="T588" s="9"/>
    </row>
    <row r="589" spans="1:20">
      <c r="A589" s="1485"/>
      <c r="B589" s="1373"/>
      <c r="C589" s="980"/>
      <c r="D589" s="973" t="s">
        <v>834</v>
      </c>
      <c r="E589" s="218">
        <v>0</v>
      </c>
      <c r="F589" s="977">
        <v>0</v>
      </c>
      <c r="G589" s="138">
        <v>0</v>
      </c>
      <c r="H589" s="977">
        <v>0</v>
      </c>
      <c r="I589" s="977">
        <v>0</v>
      </c>
      <c r="J589" s="138">
        <v>0</v>
      </c>
      <c r="K589" s="977">
        <v>0</v>
      </c>
      <c r="L589" s="138">
        <v>0</v>
      </c>
      <c r="M589" s="977">
        <v>0</v>
      </c>
      <c r="N589" s="138">
        <v>0</v>
      </c>
      <c r="O589" s="977">
        <v>0</v>
      </c>
      <c r="P589" s="800">
        <v>0</v>
      </c>
      <c r="Q589" s="560"/>
      <c r="R589" s="138"/>
      <c r="S589" s="138"/>
      <c r="T589" s="138"/>
    </row>
    <row r="590" spans="1:20">
      <c r="A590" s="1485"/>
      <c r="B590" s="1373"/>
      <c r="C590" s="981"/>
      <c r="D590" s="854" t="s">
        <v>859</v>
      </c>
      <c r="E590" s="1216">
        <f>K507*AA385</f>
        <v>4.7599218749999999</v>
      </c>
      <c r="F590" s="1216">
        <f>K508*AA386</f>
        <v>4.8840937499999999</v>
      </c>
      <c r="G590" s="1216">
        <f>K509*AA387</f>
        <v>5.173828125</v>
      </c>
      <c r="H590" s="1216">
        <f>K510*AA388</f>
        <v>4.4287968750000006</v>
      </c>
      <c r="I590" s="1216">
        <f>K511*AA389</f>
        <v>3.9735</v>
      </c>
      <c r="J590" s="1216">
        <f>K512*AA390</f>
        <v>3.8079375</v>
      </c>
      <c r="K590" s="1216">
        <f>K513*AA391</f>
        <v>4.1390624999999996</v>
      </c>
      <c r="L590" s="1216">
        <f>K514*AA392</f>
        <v>4.8840937499999999</v>
      </c>
      <c r="M590" s="1216">
        <f>K515*AA393</f>
        <v>5.4635625000000001</v>
      </c>
      <c r="N590" s="1216">
        <f>K516*AA394</f>
        <v>5.6705156250000002</v>
      </c>
      <c r="O590" s="1216">
        <f>K517*AA395</f>
        <v>5.0082656249999999</v>
      </c>
      <c r="P590" s="1216">
        <f>K518*AA396</f>
        <v>4.3046250000000006</v>
      </c>
      <c r="Q590" s="560"/>
      <c r="R590" s="138"/>
      <c r="S590" s="138"/>
      <c r="T590" s="138"/>
    </row>
    <row r="591" spans="1:20">
      <c r="A591" s="1485"/>
      <c r="B591" s="1373"/>
      <c r="C591" s="979" t="s">
        <v>20</v>
      </c>
      <c r="D591" s="971" t="s">
        <v>598</v>
      </c>
      <c r="E591" s="977">
        <f>$K$507*$I$209</f>
        <v>0.11109235176273308</v>
      </c>
      <c r="F591" s="977">
        <f>K508*$I$209</f>
        <v>0.11399041311306525</v>
      </c>
      <c r="G591" s="977">
        <f>K509*$I$209</f>
        <v>0.12075255626384032</v>
      </c>
      <c r="H591" s="977">
        <f>K510*$I$209</f>
        <v>0.10336418816184731</v>
      </c>
      <c r="I591" s="977">
        <f>K511*$I$209</f>
        <v>9.2737963210629354E-2</v>
      </c>
      <c r="J591" s="977">
        <f>K512*$I$209</f>
        <v>8.887388141018647E-2</v>
      </c>
      <c r="K591" s="977">
        <f>K513*$I$209</f>
        <v>9.6602045011072252E-2</v>
      </c>
      <c r="L591" s="977">
        <f>K514*$I$209</f>
        <v>0.11399041311306525</v>
      </c>
      <c r="M591" s="977">
        <f>K515*$I$209</f>
        <v>0.12751469941461538</v>
      </c>
      <c r="N591" s="977">
        <f>K516*$I$209</f>
        <v>0.13234480166516899</v>
      </c>
      <c r="O591" s="977">
        <f>K517*$I$209</f>
        <v>0.11688847446339741</v>
      </c>
      <c r="P591" s="977">
        <f>K518*$I$209</f>
        <v>0.10046612681151516</v>
      </c>
      <c r="Q591" s="560"/>
      <c r="R591" s="138"/>
    </row>
    <row r="592" spans="1:20">
      <c r="A592" s="1485"/>
      <c r="B592" s="1373"/>
      <c r="C592" s="991"/>
      <c r="D592" s="973" t="s">
        <v>601</v>
      </c>
      <c r="E592" s="977">
        <f>$L$507*$I$210</f>
        <v>5.6078167425019074E-2</v>
      </c>
      <c r="F592" s="977">
        <f>L508*$I$210</f>
        <v>7.1099105128149181E-2</v>
      </c>
      <c r="G592" s="977">
        <f>L509*$I$210</f>
        <v>0.10013958468753406</v>
      </c>
      <c r="H592" s="977">
        <f>L510*$I$210</f>
        <v>0.12317168916566691</v>
      </c>
      <c r="I592" s="977">
        <f>L511*$I$210</f>
        <v>0.14420100195004906</v>
      </c>
      <c r="J592" s="977">
        <f>L512*$I$210</f>
        <v>0.15721914795942848</v>
      </c>
      <c r="K592" s="977">
        <f>L513*$I$210</f>
        <v>0.17424287735630928</v>
      </c>
      <c r="L592" s="977">
        <f>L514*$I$210</f>
        <v>0.15822054380630382</v>
      </c>
      <c r="M592" s="977">
        <f>L515*$I$210</f>
        <v>0.12217029331879156</v>
      </c>
      <c r="N592" s="977">
        <f>L516*$I$210</f>
        <v>8.9124230371905325E-2</v>
      </c>
      <c r="O592" s="977">
        <f>L517*$I$210</f>
        <v>6.2086542506271117E-2</v>
      </c>
      <c r="P592" s="977">
        <f>L518*$I$210</f>
        <v>4.9068396496891695E-2</v>
      </c>
      <c r="Q592" s="560"/>
      <c r="R592" s="138"/>
    </row>
    <row r="593" spans="1:21">
      <c r="A593" s="1485"/>
      <c r="B593" s="1373"/>
      <c r="C593" s="991"/>
      <c r="D593" s="973" t="s">
        <v>621</v>
      </c>
      <c r="E593" s="218">
        <v>0</v>
      </c>
      <c r="F593" s="977">
        <v>0</v>
      </c>
      <c r="G593" s="138">
        <v>0</v>
      </c>
      <c r="H593" s="977">
        <v>0</v>
      </c>
      <c r="I593" s="977">
        <v>0</v>
      </c>
      <c r="J593" s="138">
        <v>0</v>
      </c>
      <c r="K593" s="977">
        <v>0</v>
      </c>
      <c r="L593" s="138">
        <v>0</v>
      </c>
      <c r="M593" s="977">
        <v>0</v>
      </c>
      <c r="N593" s="138">
        <v>0</v>
      </c>
      <c r="O593" s="977">
        <v>0</v>
      </c>
      <c r="P593" s="800">
        <v>0</v>
      </c>
      <c r="Q593" s="560"/>
      <c r="R593" s="138"/>
      <c r="S593" s="138"/>
      <c r="T593" s="138"/>
      <c r="U593" s="138"/>
    </row>
    <row r="594" spans="1:21">
      <c r="A594" s="1485"/>
      <c r="B594" s="1373"/>
      <c r="C594" s="991"/>
      <c r="D594" s="849" t="s">
        <v>631</v>
      </c>
      <c r="E594" s="218">
        <f>K507*AA399</f>
        <v>4.7599218749999999</v>
      </c>
      <c r="F594" s="1215">
        <f>K508*AA400</f>
        <v>4.8840937499999999</v>
      </c>
      <c r="G594" s="138">
        <f>K509*AA401</f>
        <v>5.173828125</v>
      </c>
      <c r="H594" s="1215">
        <f>K510*AA402</f>
        <v>4.4287968750000006</v>
      </c>
      <c r="I594" s="1215">
        <f>K511*AA403</f>
        <v>3.9735</v>
      </c>
      <c r="J594" s="138">
        <f>K512*AA404</f>
        <v>3.8079375</v>
      </c>
      <c r="K594" s="1215">
        <f>K513*AA405</f>
        <v>4.1390624999999996</v>
      </c>
      <c r="L594" s="138">
        <f>K514*AA406</f>
        <v>4.8840937499999999</v>
      </c>
      <c r="M594" s="1215">
        <f>K515*AA407</f>
        <v>5.4635625000000001</v>
      </c>
      <c r="N594" s="138">
        <f>K516*AA408</f>
        <v>5.6705156250000002</v>
      </c>
      <c r="O594" s="1215">
        <f>K517*AA409</f>
        <v>5.0082656249999999</v>
      </c>
      <c r="P594" s="800">
        <f>K518*AA410</f>
        <v>4.3046250000000006</v>
      </c>
      <c r="Q594" s="560"/>
      <c r="R594" s="138"/>
      <c r="S594" s="9"/>
      <c r="T594" s="9"/>
      <c r="U594" s="9"/>
    </row>
    <row r="595" spans="1:21">
      <c r="A595" s="1485"/>
      <c r="B595" s="1373"/>
      <c r="C595" s="991"/>
      <c r="D595" s="851" t="s">
        <v>859</v>
      </c>
      <c r="E595" s="218">
        <f>L507*AA413</f>
        <v>1.6819658333333332</v>
      </c>
      <c r="F595" s="1215">
        <f>L508*AA414</f>
        <v>2.1324923958333333</v>
      </c>
      <c r="G595" s="138">
        <f>L509*AA415</f>
        <v>3.0035104166666664</v>
      </c>
      <c r="H595" s="1215">
        <f>L510*AA416</f>
        <v>3.6943178125</v>
      </c>
      <c r="I595" s="1215">
        <f>L511*AA417</f>
        <v>4.3250549999999999</v>
      </c>
      <c r="J595" s="138">
        <f>L512*AA418</f>
        <v>4.715511354166666</v>
      </c>
      <c r="K595" s="1215">
        <f>L513*AA419</f>
        <v>5.2261081249999997</v>
      </c>
      <c r="L595" s="138">
        <f>L514*AA420</f>
        <v>4.7455464583333322</v>
      </c>
      <c r="M595" s="1215">
        <f>L515*AA421</f>
        <v>3.6642827083333334</v>
      </c>
      <c r="N595" s="138">
        <f>L516*AA422</f>
        <v>2.6731242708333331</v>
      </c>
      <c r="O595" s="1215">
        <f>L517*AA423</f>
        <v>1.8621764583333327</v>
      </c>
      <c r="P595" s="800">
        <f>L518*AA424</f>
        <v>1.4717201041666668</v>
      </c>
      <c r="Q595" s="560"/>
      <c r="R595" s="138"/>
      <c r="S595" s="9"/>
      <c r="T595" s="9"/>
      <c r="U595" s="9"/>
    </row>
    <row r="596" spans="1:21">
      <c r="A596" s="1485"/>
      <c r="B596" s="1373"/>
      <c r="C596" s="865"/>
      <c r="D596" s="940" t="s">
        <v>858</v>
      </c>
      <c r="E596" s="1216">
        <f>L507*AA427</f>
        <v>1.6819658333333332</v>
      </c>
      <c r="F596" s="1216">
        <f>L508*AA428</f>
        <v>2.1324923958333333</v>
      </c>
      <c r="G596" s="1216">
        <f>L509*AA429</f>
        <v>3.0035104166666664</v>
      </c>
      <c r="H596" s="1216">
        <f>L510*AA430</f>
        <v>3.6943178125</v>
      </c>
      <c r="I596" s="1216">
        <f>L511*AA431</f>
        <v>4.3250549999999999</v>
      </c>
      <c r="J596" s="1216">
        <f>L512*AA432</f>
        <v>4.715511354166666</v>
      </c>
      <c r="K596" s="1216">
        <f>L513*AA433</f>
        <v>5.2261081249999997</v>
      </c>
      <c r="L596" s="1216">
        <f>L514*AA434</f>
        <v>4.7455464583333322</v>
      </c>
      <c r="M596" s="1216">
        <f>L515*AA435</f>
        <v>3.6642827083333334</v>
      </c>
      <c r="N596" s="1216">
        <f>L516*AA436</f>
        <v>2.6731242708333331</v>
      </c>
      <c r="O596" s="1216">
        <f>L517*AA437</f>
        <v>1.8621764583333327</v>
      </c>
      <c r="P596" s="1216">
        <f>L518*AA438</f>
        <v>1.4717201041666668</v>
      </c>
      <c r="Q596" s="560"/>
      <c r="R596" s="138"/>
      <c r="S596" s="9"/>
      <c r="T596" s="9"/>
      <c r="U596" s="9"/>
    </row>
    <row r="597" spans="1:21">
      <c r="A597" s="1485"/>
      <c r="B597" s="1373"/>
      <c r="C597" s="980" t="s">
        <v>586</v>
      </c>
      <c r="D597" s="973" t="s">
        <v>597</v>
      </c>
      <c r="E597" s="977">
        <f>$L$507*$I$212</f>
        <v>4.3582488814009383E-2</v>
      </c>
      <c r="F597" s="977">
        <f>L508*$I$212</f>
        <v>5.5256369746333328E-2</v>
      </c>
      <c r="G597" s="977">
        <f>L509*$I$212</f>
        <v>7.7825872882159614E-2</v>
      </c>
      <c r="H597" s="977">
        <f>L510*$I$212</f>
        <v>9.5725823645056343E-2</v>
      </c>
      <c r="I597" s="977">
        <f>L511*$I$212</f>
        <v>0.11206925695030985</v>
      </c>
      <c r="J597" s="977">
        <f>L512*$I$212</f>
        <v>0.12218662042499059</v>
      </c>
      <c r="K597" s="977">
        <f>L513*$I$212</f>
        <v>0.13541701881495774</v>
      </c>
      <c r="L597" s="977">
        <f>L514*$I$212</f>
        <v>0.12296487915381218</v>
      </c>
      <c r="M597" s="977">
        <f>L515*$I$212</f>
        <v>9.4947564916234739E-2</v>
      </c>
      <c r="N597" s="977">
        <f>L516*$I$212</f>
        <v>6.9265026865122065E-2</v>
      </c>
      <c r="O597" s="977">
        <f>L517*$I$212</f>
        <v>4.825204118693896E-2</v>
      </c>
      <c r="P597" s="977">
        <f>L518*$I$212</f>
        <v>3.8134677712258216E-2</v>
      </c>
      <c r="Q597" s="560"/>
      <c r="R597" s="138"/>
      <c r="S597" s="9"/>
      <c r="T597" s="9"/>
      <c r="U597" s="9"/>
    </row>
    <row r="598" spans="1:21">
      <c r="A598" s="1485"/>
      <c r="B598" s="1373"/>
      <c r="C598" s="991"/>
      <c r="D598" s="973" t="s">
        <v>826</v>
      </c>
      <c r="E598" s="218">
        <v>0</v>
      </c>
      <c r="F598" s="977">
        <v>0</v>
      </c>
      <c r="G598" s="138">
        <v>0</v>
      </c>
      <c r="H598" s="977">
        <v>0</v>
      </c>
      <c r="I598" s="977">
        <v>0</v>
      </c>
      <c r="J598" s="138">
        <v>0</v>
      </c>
      <c r="K598" s="977">
        <v>0</v>
      </c>
      <c r="L598" s="138">
        <v>0</v>
      </c>
      <c r="M598" s="977">
        <v>0</v>
      </c>
      <c r="N598" s="138">
        <v>0</v>
      </c>
      <c r="O598" s="977">
        <v>0</v>
      </c>
      <c r="P598" s="800">
        <v>0</v>
      </c>
      <c r="Q598" s="560"/>
      <c r="R598" s="138"/>
      <c r="S598" s="9"/>
      <c r="T598" s="9"/>
      <c r="U598" s="9"/>
    </row>
    <row r="599" spans="1:21">
      <c r="A599" s="1485"/>
      <c r="B599" s="1373"/>
      <c r="C599" s="865"/>
      <c r="D599" s="854" t="s">
        <v>859</v>
      </c>
      <c r="E599" s="1216">
        <f>L507*AA441</f>
        <v>1.6819658333333332</v>
      </c>
      <c r="F599" s="1216">
        <f>L508*AA442</f>
        <v>2.1324923958333333</v>
      </c>
      <c r="G599" s="1216">
        <f>L509*AA443</f>
        <v>3.0035104166666664</v>
      </c>
      <c r="H599" s="1216">
        <f>L510*AA444</f>
        <v>3.6943178125</v>
      </c>
      <c r="I599" s="1216">
        <f>L511*AA445</f>
        <v>4.3250549999999999</v>
      </c>
      <c r="J599" s="1216">
        <f>L512*AA446</f>
        <v>4.715511354166666</v>
      </c>
      <c r="K599" s="1216">
        <f>L513*AA447</f>
        <v>5.2261081249999997</v>
      </c>
      <c r="L599" s="1216">
        <f>L514*AA448</f>
        <v>4.7455464583333322</v>
      </c>
      <c r="M599" s="1216">
        <f>L515*AA449</f>
        <v>3.6642827083333334</v>
      </c>
      <c r="N599" s="1216">
        <f>L516*AA450</f>
        <v>2.6731242708333331</v>
      </c>
      <c r="O599" s="1216">
        <f>L517*AA451</f>
        <v>1.8621764583333327</v>
      </c>
      <c r="P599" s="1216">
        <f>L518*AA452</f>
        <v>1.4717201041666668</v>
      </c>
      <c r="Q599" s="560"/>
      <c r="R599" s="138"/>
      <c r="S599" s="9"/>
      <c r="T599" s="9"/>
      <c r="U599" s="9"/>
    </row>
    <row r="600" spans="1:21">
      <c r="A600" s="1485"/>
      <c r="B600" s="1373"/>
      <c r="C600" s="979" t="s">
        <v>19</v>
      </c>
      <c r="D600" s="971" t="s">
        <v>596</v>
      </c>
      <c r="E600" s="977">
        <f>$L$507*$I$214</f>
        <v>4.8916010172367172E-2</v>
      </c>
      <c r="F600" s="977">
        <f>L508*$I$214</f>
        <v>6.2018512897108385E-2</v>
      </c>
      <c r="G600" s="977">
        <f>L509*$I$214</f>
        <v>8.7350018164941395E-2</v>
      </c>
      <c r="H600" s="977">
        <f>L510*$I$214</f>
        <v>0.10744052234287792</v>
      </c>
      <c r="I600" s="977">
        <f>L511*$I$214</f>
        <v>0.1257840261575156</v>
      </c>
      <c r="J600" s="977">
        <f>L512*$I$214</f>
        <v>0.13713952851895797</v>
      </c>
      <c r="K600" s="977">
        <f>L513*$I$214</f>
        <v>0.151989031606998</v>
      </c>
      <c r="L600" s="977">
        <f>L514*$I$214</f>
        <v>0.13801302870060739</v>
      </c>
      <c r="M600" s="977">
        <f>L515*$I$214</f>
        <v>0.1065670221612285</v>
      </c>
      <c r="N600" s="977">
        <f>L516*$I$214</f>
        <v>7.7741516166797836E-2</v>
      </c>
      <c r="O600" s="977">
        <f>L517*$I$214</f>
        <v>5.415701126226366E-2</v>
      </c>
      <c r="P600" s="977">
        <f>L518*$I$214</f>
        <v>4.2801508900821281E-2</v>
      </c>
      <c r="Q600" s="560"/>
      <c r="R600" s="138"/>
      <c r="S600" s="9"/>
      <c r="T600" s="9"/>
      <c r="U600" s="9"/>
    </row>
    <row r="601" spans="1:21">
      <c r="A601" s="1485"/>
      <c r="B601" s="1373"/>
      <c r="C601" s="991"/>
      <c r="D601" s="973" t="s">
        <v>828</v>
      </c>
      <c r="E601" s="218">
        <v>0</v>
      </c>
      <c r="F601" s="977">
        <v>0</v>
      </c>
      <c r="G601" s="138">
        <v>0</v>
      </c>
      <c r="H601" s="977">
        <v>0</v>
      </c>
      <c r="I601" s="977">
        <v>0</v>
      </c>
      <c r="J601" s="138">
        <v>0</v>
      </c>
      <c r="K601" s="977">
        <v>0</v>
      </c>
      <c r="L601" s="138">
        <v>0</v>
      </c>
      <c r="M601" s="977">
        <v>0</v>
      </c>
      <c r="N601" s="138">
        <v>0</v>
      </c>
      <c r="O601" s="977">
        <v>0</v>
      </c>
      <c r="P601" s="800">
        <v>0</v>
      </c>
      <c r="Q601" s="560"/>
      <c r="R601" s="138"/>
      <c r="S601" s="9"/>
      <c r="T601" s="9"/>
      <c r="U601" s="9"/>
    </row>
    <row r="602" spans="1:21">
      <c r="A602" s="1485"/>
      <c r="B602" s="1373"/>
      <c r="C602" s="991"/>
      <c r="D602" s="973" t="s">
        <v>620</v>
      </c>
      <c r="E602" s="218">
        <v>0</v>
      </c>
      <c r="F602" s="977">
        <v>0</v>
      </c>
      <c r="G602" s="138">
        <v>0</v>
      </c>
      <c r="H602" s="977">
        <v>0</v>
      </c>
      <c r="I602" s="977">
        <v>0</v>
      </c>
      <c r="J602" s="138">
        <v>0</v>
      </c>
      <c r="K602" s="977">
        <v>0</v>
      </c>
      <c r="L602" s="138">
        <v>0</v>
      </c>
      <c r="M602" s="977">
        <v>0</v>
      </c>
      <c r="N602" s="138">
        <v>0</v>
      </c>
      <c r="O602" s="977">
        <v>0</v>
      </c>
      <c r="P602" s="800">
        <v>0</v>
      </c>
      <c r="Q602" s="560"/>
      <c r="R602" s="138"/>
      <c r="S602" s="9"/>
      <c r="T602" s="9"/>
      <c r="U602" s="9"/>
    </row>
    <row r="603" spans="1:21">
      <c r="A603" s="1486"/>
      <c r="B603" s="1374"/>
      <c r="C603" s="871"/>
      <c r="D603" s="852" t="s">
        <v>631</v>
      </c>
      <c r="E603" s="1216">
        <f>L507*AA455</f>
        <v>1.6819658333333332</v>
      </c>
      <c r="F603" s="1216">
        <f>L508*AA456</f>
        <v>2.1324923958333333</v>
      </c>
      <c r="G603" s="1216">
        <f>L509*AA457</f>
        <v>3.0035104166666664</v>
      </c>
      <c r="H603" s="1216">
        <f>L510*AA458</f>
        <v>3.6943178125</v>
      </c>
      <c r="I603" s="1216">
        <f>L511*AA459</f>
        <v>4.3250549999999999</v>
      </c>
      <c r="J603" s="1216">
        <f>L512*AA460</f>
        <v>4.715511354166666</v>
      </c>
      <c r="K603" s="1216">
        <f>L513*AA461</f>
        <v>5.2261081249999997</v>
      </c>
      <c r="L603" s="1216">
        <f>L514*AA462</f>
        <v>4.7455464583333322</v>
      </c>
      <c r="M603" s="1216">
        <f>L515*AA463</f>
        <v>3.6642827083333334</v>
      </c>
      <c r="N603" s="1216">
        <f>L516*AA464</f>
        <v>2.6731242708333331</v>
      </c>
      <c r="O603" s="1216">
        <f>L517*AA465</f>
        <v>1.8621764583333327</v>
      </c>
      <c r="P603" s="1216">
        <f>L518*AA466</f>
        <v>1.4717201041666668</v>
      </c>
      <c r="Q603" s="560"/>
      <c r="R603" s="138"/>
      <c r="S603" s="9"/>
      <c r="T603" s="9"/>
      <c r="U603" s="9"/>
    </row>
    <row r="604" spans="1:21">
      <c r="A604" s="1369" t="s">
        <v>835</v>
      </c>
      <c r="B604" s="1481" t="s">
        <v>809</v>
      </c>
      <c r="C604" s="979" t="s">
        <v>9</v>
      </c>
      <c r="D604" s="972" t="s">
        <v>593</v>
      </c>
      <c r="E604" s="976">
        <f>$L$507*$I$217</f>
        <v>5.0287487093087745E-2</v>
      </c>
      <c r="F604" s="976">
        <f>L508*$I$217</f>
        <v>6.3757349707307689E-2</v>
      </c>
      <c r="G604" s="976">
        <f>L509*$I$217</f>
        <v>8.9799084094799558E-2</v>
      </c>
      <c r="H604" s="976">
        <f>L510*$I$217</f>
        <v>0.11045287343660347</v>
      </c>
      <c r="I604" s="976">
        <f>L511*$I$217</f>
        <v>0.12931068109651137</v>
      </c>
      <c r="J604" s="976">
        <f>L512*$I$217</f>
        <v>0.1409845620288353</v>
      </c>
      <c r="K604" s="976">
        <f>L513*$I$217</f>
        <v>0.15625040632495121</v>
      </c>
      <c r="L604" s="976">
        <f>L514*$I$217</f>
        <v>0.1418825528697833</v>
      </c>
      <c r="M604" s="976">
        <f>L515*$I$217</f>
        <v>0.10955488259565546</v>
      </c>
      <c r="N604" s="976">
        <f>L516*$I$217</f>
        <v>7.9921184844371607E-2</v>
      </c>
      <c r="O604" s="976">
        <f>L517*$I$217</f>
        <v>5.5675432138775724E-2</v>
      </c>
      <c r="P604" s="976">
        <f>L518*$I$217</f>
        <v>4.4001551206451786E-2</v>
      </c>
      <c r="Q604" s="560"/>
      <c r="R604" s="138"/>
      <c r="S604" s="9"/>
      <c r="T604" s="9"/>
      <c r="U604" s="9"/>
    </row>
    <row r="605" spans="1:21">
      <c r="A605" s="1370"/>
      <c r="B605" s="1482"/>
      <c r="C605" s="980"/>
      <c r="D605" s="974" t="s">
        <v>813</v>
      </c>
      <c r="E605" s="977">
        <f>$O$507*$I$218</f>
        <v>1.5796475247585196E-2</v>
      </c>
      <c r="F605" s="977">
        <f>O508*$I$218</f>
        <v>2.2817130913178614E-2</v>
      </c>
      <c r="G605" s="977">
        <f>O509*$I$218</f>
        <v>3.6858442244365457E-2</v>
      </c>
      <c r="H605" s="977">
        <f>O510*$I$218</f>
        <v>5.2654917491950649E-2</v>
      </c>
      <c r="I605" s="977">
        <f>O511*$I$218</f>
        <v>6.8451392739535835E-2</v>
      </c>
      <c r="J605" s="977">
        <f>O512*$I$218</f>
        <v>7.8397321599126532E-2</v>
      </c>
      <c r="K605" s="977">
        <f>O513*$I$218</f>
        <v>8.3077758709522137E-2</v>
      </c>
      <c r="L605" s="977">
        <f>O514*$I$218</f>
        <v>6.7866338100736404E-2</v>
      </c>
      <c r="M605" s="977">
        <f>O515*$I$218</f>
        <v>4.5634261826357228E-2</v>
      </c>
      <c r="N605" s="977">
        <f>O516*$I$218</f>
        <v>2.8667677301173134E-2</v>
      </c>
      <c r="O605" s="977">
        <f>O517*$I$218</f>
        <v>1.755163916398355E-2</v>
      </c>
      <c r="P605" s="977">
        <f>O518*$I$218</f>
        <v>1.4041311331186839E-2</v>
      </c>
      <c r="Q605" s="560"/>
      <c r="R605" s="138"/>
      <c r="S605" s="138"/>
      <c r="T605" s="138"/>
      <c r="U605" s="138"/>
    </row>
    <row r="606" spans="1:21">
      <c r="A606" s="1370"/>
      <c r="B606" s="1482"/>
      <c r="C606" s="980"/>
      <c r="D606" s="974" t="s">
        <v>816</v>
      </c>
      <c r="E606" s="977">
        <f>$M$507*$I$169</f>
        <v>0</v>
      </c>
      <c r="F606" s="977">
        <f>$L$508*$I$169</f>
        <v>0</v>
      </c>
      <c r="G606" s="977">
        <f>$L$509*$I$169</f>
        <v>0</v>
      </c>
      <c r="H606" s="977">
        <f>$L$510*$I$169</f>
        <v>0</v>
      </c>
      <c r="I606" s="977">
        <f>$L$511*$I$169</f>
        <v>0</v>
      </c>
      <c r="J606" s="977">
        <f>$M$512*$I$169</f>
        <v>0</v>
      </c>
      <c r="K606" s="977">
        <f>$L$513*$I$169</f>
        <v>0</v>
      </c>
      <c r="L606" s="977">
        <f>$L$514*$I$169</f>
        <v>0</v>
      </c>
      <c r="M606" s="977">
        <f>$L$515*$I$169</f>
        <v>0</v>
      </c>
      <c r="N606" s="977">
        <f>$L$516*$I$169</f>
        <v>0</v>
      </c>
      <c r="O606" s="977">
        <f>$L$517*$I$169</f>
        <v>0</v>
      </c>
      <c r="P606" s="977">
        <f>$L$518*$I$169</f>
        <v>0</v>
      </c>
      <c r="Q606" s="560"/>
      <c r="R606" s="138"/>
      <c r="S606" s="138"/>
      <c r="T606" s="138"/>
      <c r="U606" s="138"/>
    </row>
    <row r="607" spans="1:21">
      <c r="A607" s="1370"/>
      <c r="B607" s="1482"/>
      <c r="C607" s="981"/>
      <c r="D607" s="939" t="s">
        <v>618</v>
      </c>
      <c r="E607" s="978">
        <f>E535*'1.Dati'!$K$122</f>
        <v>6.7833984375000007</v>
      </c>
      <c r="F607" s="1216">
        <f>F535*'1.Dati'!$K$122</f>
        <v>9.7982421874999996</v>
      </c>
      <c r="G607" s="1216">
        <f>G535*'1.Dati'!$K$122</f>
        <v>15.827929687500003</v>
      </c>
      <c r="H607" s="1216">
        <f>H535*'1.Dati'!$K$122</f>
        <v>22.611328125</v>
      </c>
      <c r="I607" s="1216">
        <f>I535*'1.Dati'!$K$122</f>
        <v>29.394726562500001</v>
      </c>
      <c r="J607" s="1216">
        <f>J535*'1.Dati'!$K$122</f>
        <v>33.665755208333337</v>
      </c>
      <c r="K607" s="1216">
        <f>K535*'1.Dati'!$K$122</f>
        <v>35.675651041666669</v>
      </c>
      <c r="L607" s="1216">
        <f>L535*'1.Dati'!$K$122</f>
        <v>29.143489583333334</v>
      </c>
      <c r="M607" s="1216">
        <f>M535*'1.Dati'!$K$122</f>
        <v>19.596484374999999</v>
      </c>
      <c r="N607" s="1216">
        <f>N535*'1.Dati'!$K$122</f>
        <v>12.310611979166667</v>
      </c>
      <c r="O607" s="1216">
        <f>O535*'1.Dati'!$K$122</f>
        <v>7.5371093749999982</v>
      </c>
      <c r="P607" s="1216">
        <f>P535*'1.Dati'!$K$122</f>
        <v>6.0296875000000005</v>
      </c>
      <c r="Q607" s="560"/>
      <c r="R607" s="138"/>
      <c r="S607" s="9"/>
      <c r="T607" s="138"/>
      <c r="U607" s="138"/>
    </row>
    <row r="608" spans="1:21">
      <c r="A608" s="1370"/>
      <c r="B608" s="1482"/>
      <c r="C608" s="866" t="s">
        <v>804</v>
      </c>
      <c r="D608" s="973" t="s">
        <v>814</v>
      </c>
      <c r="E608" s="977">
        <f>$O$507*$I$219</f>
        <v>3.7323764771038506E-2</v>
      </c>
      <c r="F608" s="977">
        <f>O508*$I$219</f>
        <v>5.3912104669277844E-2</v>
      </c>
      <c r="G608" s="977">
        <f>O509*$I$219</f>
        <v>8.7088784465756519E-2</v>
      </c>
      <c r="H608" s="977">
        <f>O510*$I$219</f>
        <v>0.12441254923679504</v>
      </c>
      <c r="I608" s="977">
        <f>O511*$I$219</f>
        <v>0.16173631400783353</v>
      </c>
      <c r="J608" s="977">
        <f>O512*$I$219</f>
        <v>0.18523646219700593</v>
      </c>
      <c r="K608" s="977">
        <f>O513*$I$219</f>
        <v>0.19629535546249882</v>
      </c>
      <c r="L608" s="977">
        <f>O514*$I$219</f>
        <v>0.16035395234964694</v>
      </c>
      <c r="M608" s="977">
        <f>O515*$I$219</f>
        <v>0.10782420933855569</v>
      </c>
      <c r="N608" s="977">
        <f>O516*$I$219</f>
        <v>6.7735721251143965E-2</v>
      </c>
      <c r="O608" s="977">
        <f>O517*$I$219</f>
        <v>4.1470849745598337E-2</v>
      </c>
      <c r="P608" s="977">
        <f>O518*$I$219</f>
        <v>3.3176679796478675E-2</v>
      </c>
      <c r="Q608" s="560"/>
      <c r="R608" s="138"/>
      <c r="S608" s="9"/>
      <c r="T608" s="138"/>
      <c r="U608" s="138"/>
    </row>
    <row r="609" spans="1:21" ht="15" customHeight="1">
      <c r="A609" s="1370"/>
      <c r="B609" s="1482"/>
      <c r="C609" s="866"/>
      <c r="D609" s="973" t="s">
        <v>590</v>
      </c>
      <c r="E609" s="977">
        <f>$M$507*$I$220</f>
        <v>2.4784547210164678E-2</v>
      </c>
      <c r="F609" s="977">
        <f>M508*$I$220</f>
        <v>3.3405259283265432E-2</v>
      </c>
      <c r="G609" s="977">
        <f>M509*$I$220</f>
        <v>4.5258738383778981E-2</v>
      </c>
      <c r="H609" s="977">
        <f>M510*$I$220</f>
        <v>6.1422573520842898E-2</v>
      </c>
      <c r="I609" s="977">
        <f>M511*$I$220</f>
        <v>8.7284709740145169E-2</v>
      </c>
      <c r="J609" s="977">
        <f>M512*$I$220</f>
        <v>0.10560372289548429</v>
      </c>
      <c r="K609" s="977">
        <f>M513*$I$220</f>
        <v>0.1023709558680715</v>
      </c>
      <c r="L609" s="977">
        <f>M514*$I$220</f>
        <v>7.3276052621356433E-2</v>
      </c>
      <c r="M609" s="977">
        <f>M515*$I$220</f>
        <v>4.9569094420329356E-2</v>
      </c>
      <c r="N609" s="977">
        <f>M516*$I$220</f>
        <v>3.7715615319815814E-2</v>
      </c>
      <c r="O609" s="977">
        <f>M517*$I$220</f>
        <v>2.6939725228439869E-2</v>
      </c>
      <c r="P609" s="977">
        <f>M518*$I$220</f>
        <v>2.262936919188949E-2</v>
      </c>
      <c r="Q609" s="560"/>
      <c r="R609" s="138"/>
      <c r="S609" s="9"/>
      <c r="T609" s="138"/>
      <c r="U609" s="138"/>
    </row>
    <row r="610" spans="1:21">
      <c r="A610" s="1370"/>
      <c r="B610" s="1482"/>
      <c r="C610" s="866"/>
      <c r="D610" s="973" t="s">
        <v>815</v>
      </c>
      <c r="E610" s="977">
        <f>$M$507*$I$169</f>
        <v>0</v>
      </c>
      <c r="F610" s="977">
        <f>$L$508*$I$169</f>
        <v>0</v>
      </c>
      <c r="G610" s="977">
        <f>$L$509*$I$169</f>
        <v>0</v>
      </c>
      <c r="H610" s="977">
        <f>$L$510*$I$169</f>
        <v>0</v>
      </c>
      <c r="I610" s="977">
        <f>$L$511*$I$169</f>
        <v>0</v>
      </c>
      <c r="J610" s="977">
        <f>$M$512*$I$169</f>
        <v>0</v>
      </c>
      <c r="K610" s="977">
        <f>$L$513*$I$169</f>
        <v>0</v>
      </c>
      <c r="L610" s="977">
        <f>$L$514*$I$169</f>
        <v>0</v>
      </c>
      <c r="M610" s="977">
        <f>$L$515*$I$169</f>
        <v>0</v>
      </c>
      <c r="N610" s="977">
        <f>$L$516*$I$169</f>
        <v>0</v>
      </c>
      <c r="O610" s="977">
        <f>$L$517*$I$169</f>
        <v>0</v>
      </c>
      <c r="P610" s="977">
        <f>$L$518*$I$169</f>
        <v>0</v>
      </c>
      <c r="Q610" s="560"/>
      <c r="R610" s="138"/>
      <c r="S610" s="9"/>
      <c r="T610" s="138"/>
      <c r="U610" s="138"/>
    </row>
    <row r="611" spans="1:21">
      <c r="A611" s="1370"/>
      <c r="B611" s="1482"/>
      <c r="C611" s="980"/>
      <c r="D611" s="973" t="s">
        <v>818</v>
      </c>
      <c r="E611" s="977">
        <f>$M$507*$I$169</f>
        <v>0</v>
      </c>
      <c r="F611" s="977">
        <f>$L$508*$I$169</f>
        <v>0</v>
      </c>
      <c r="G611" s="977">
        <f>$L$509*$I$169</f>
        <v>0</v>
      </c>
      <c r="H611" s="977">
        <f>$L$510*$I$169</f>
        <v>0</v>
      </c>
      <c r="I611" s="977">
        <f>$L$511*$I$169</f>
        <v>0</v>
      </c>
      <c r="J611" s="977">
        <f>$M$512*$I$169</f>
        <v>0</v>
      </c>
      <c r="K611" s="977">
        <f>$L$513*$I$169</f>
        <v>0</v>
      </c>
      <c r="L611" s="977">
        <f>$L$514*$I$169</f>
        <v>0</v>
      </c>
      <c r="M611" s="977">
        <f>$L$515*$I$169</f>
        <v>0</v>
      </c>
      <c r="N611" s="977">
        <f>$L$516*$I$169</f>
        <v>0</v>
      </c>
      <c r="O611" s="977">
        <f>$L$517*$I$169</f>
        <v>0</v>
      </c>
      <c r="P611" s="977">
        <f>$L$518*$I$169</f>
        <v>0</v>
      </c>
      <c r="Q611" s="560"/>
      <c r="R611" s="138"/>
      <c r="S611" s="9"/>
      <c r="T611" s="9"/>
    </row>
    <row r="612" spans="1:21">
      <c r="A612" s="1370"/>
      <c r="B612" s="1482"/>
      <c r="C612" s="980"/>
      <c r="D612" s="973" t="s">
        <v>819</v>
      </c>
      <c r="E612" s="218">
        <v>0</v>
      </c>
      <c r="F612" s="218">
        <v>0</v>
      </c>
      <c r="G612" s="218">
        <v>0</v>
      </c>
      <c r="H612" s="218">
        <v>0</v>
      </c>
      <c r="I612" s="218">
        <v>0</v>
      </c>
      <c r="J612" s="218">
        <v>0</v>
      </c>
      <c r="K612" s="218">
        <v>0</v>
      </c>
      <c r="L612" s="218">
        <v>0</v>
      </c>
      <c r="M612" s="218">
        <v>0</v>
      </c>
      <c r="N612" s="218">
        <v>0</v>
      </c>
      <c r="O612" s="218">
        <v>0</v>
      </c>
      <c r="P612" s="977">
        <v>0</v>
      </c>
      <c r="Q612" s="560"/>
      <c r="R612" s="138"/>
      <c r="S612" s="9"/>
      <c r="T612" s="9"/>
    </row>
    <row r="613" spans="1:21" ht="15" customHeight="1">
      <c r="A613" s="1370"/>
      <c r="B613" s="1482"/>
      <c r="C613" s="980"/>
      <c r="D613" s="847" t="s">
        <v>619</v>
      </c>
      <c r="E613" s="1216">
        <f>E541*'1.Dati'!$K$122</f>
        <v>22.244765625000007</v>
      </c>
      <c r="F613" s="1216">
        <f>F541*'1.Dati'!$K$122</f>
        <v>32.131328125000003</v>
      </c>
      <c r="G613" s="1216">
        <f>G541*'1.Dati'!$K$122</f>
        <v>51.904453125000003</v>
      </c>
      <c r="H613" s="1216">
        <f>H541*'1.Dati'!$K$122</f>
        <v>74.149218750000017</v>
      </c>
      <c r="I613" s="1216">
        <f>I541*'1.Dati'!$K$122</f>
        <v>96.393984375000002</v>
      </c>
      <c r="J613" s="1216">
        <f>J541*'1.Dati'!$K$122</f>
        <v>110.39994791666669</v>
      </c>
      <c r="K613" s="1216">
        <f>K541*'1.Dati'!$K$122</f>
        <v>116.99098958333335</v>
      </c>
      <c r="L613" s="1216">
        <f>L541*'1.Dati'!$K$122</f>
        <v>95.570104166666695</v>
      </c>
      <c r="M613" s="1216">
        <f>M541*'1.Dati'!$K$122</f>
        <v>64.262656250000006</v>
      </c>
      <c r="N613" s="1216">
        <f>N541*'1.Dati'!$K$122</f>
        <v>40.370130208333343</v>
      </c>
      <c r="O613" s="1216">
        <f>O541*'1.Dati'!$K$122</f>
        <v>24.716406249999995</v>
      </c>
      <c r="P613" s="1216">
        <f>P541*'1.Dati'!$K$122</f>
        <v>19.773125000000004</v>
      </c>
      <c r="Q613" s="560"/>
      <c r="R613" s="138"/>
      <c r="S613" s="9"/>
      <c r="T613" s="9"/>
    </row>
    <row r="614" spans="1:21">
      <c r="A614" s="1370"/>
      <c r="B614" s="1482"/>
      <c r="C614" s="981"/>
      <c r="D614" s="852" t="s">
        <v>631</v>
      </c>
      <c r="E614" s="1216">
        <f>E542*'1.Dati'!$K$122</f>
        <v>3.4540369791666663</v>
      </c>
      <c r="F614" s="1216">
        <f>F542*'1.Dati'!$K$122</f>
        <v>4.6554411458333327</v>
      </c>
      <c r="G614" s="1216">
        <f>G542*'1.Dati'!$K$122</f>
        <v>6.3073718750000012</v>
      </c>
      <c r="H614" s="1216">
        <f>H542*'1.Dati'!$K$122</f>
        <v>8.5600046874999993</v>
      </c>
      <c r="I614" s="1216">
        <f>I542*'1.Dati'!$K$122</f>
        <v>12.1642171875</v>
      </c>
      <c r="J614" s="1216">
        <f>J542*'1.Dati'!$K$122</f>
        <v>14.717201041666668</v>
      </c>
      <c r="K614" s="1216">
        <f>K542*'1.Dati'!$K$122</f>
        <v>14.266674479166666</v>
      </c>
      <c r="L614" s="1216">
        <f>L542*'1.Dati'!$K$122</f>
        <v>10.211935416666664</v>
      </c>
      <c r="M614" s="1216">
        <f>M542*'1.Dati'!$K$122</f>
        <v>6.9080739583333326</v>
      </c>
      <c r="N614" s="1216">
        <f>N542*'1.Dati'!$K$122</f>
        <v>5.2561432291666668</v>
      </c>
      <c r="O614" s="1216">
        <f>O542*'1.Dati'!$K$122</f>
        <v>3.7543880208333329</v>
      </c>
      <c r="P614" s="1216">
        <f>P542*'1.Dati'!$K$122</f>
        <v>3.1536859375000006</v>
      </c>
      <c r="Q614" s="560"/>
      <c r="R614" s="138"/>
      <c r="S614" s="9"/>
      <c r="T614" s="9"/>
    </row>
    <row r="615" spans="1:21">
      <c r="A615" s="1370"/>
      <c r="B615" s="1482"/>
      <c r="C615" s="980" t="s">
        <v>22</v>
      </c>
      <c r="D615" s="973" t="s">
        <v>821</v>
      </c>
      <c r="E615" s="977">
        <f>$M$507*$I$169</f>
        <v>0</v>
      </c>
      <c r="F615" s="977">
        <f>$L$508*$I$169</f>
        <v>0</v>
      </c>
      <c r="G615" s="977">
        <f>$L$509*$I$169</f>
        <v>0</v>
      </c>
      <c r="H615" s="977">
        <f>$L$510*$I$169</f>
        <v>0</v>
      </c>
      <c r="I615" s="977">
        <f>$L$511*$I$169</f>
        <v>0</v>
      </c>
      <c r="J615" s="977">
        <f>$M$512*$I$169</f>
        <v>0</v>
      </c>
      <c r="K615" s="977">
        <f>$L$513*$I$169</f>
        <v>0</v>
      </c>
      <c r="L615" s="977">
        <f>$L$514*$I$169</f>
        <v>0</v>
      </c>
      <c r="M615" s="977">
        <f>$L$515*$I$169</f>
        <v>0</v>
      </c>
      <c r="N615" s="977">
        <f>$L$516*$I$169</f>
        <v>0</v>
      </c>
      <c r="O615" s="977">
        <f>$L$517*$I$169</f>
        <v>0</v>
      </c>
      <c r="P615" s="977">
        <f>$L$518*$I$169</f>
        <v>0</v>
      </c>
      <c r="Q615" s="560"/>
      <c r="R615" s="138"/>
      <c r="S615" s="9"/>
      <c r="T615" s="9"/>
    </row>
    <row r="616" spans="1:21">
      <c r="A616" s="1370"/>
      <c r="B616" s="1482"/>
      <c r="C616" s="981"/>
      <c r="D616" s="975" t="s">
        <v>822</v>
      </c>
      <c r="E616" s="978">
        <f>$M$507*$I$169</f>
        <v>0</v>
      </c>
      <c r="F616" s="978">
        <f>$L$508*$I$169</f>
        <v>0</v>
      </c>
      <c r="G616" s="978">
        <f>$L$509*$I$169</f>
        <v>0</v>
      </c>
      <c r="H616" s="978">
        <f>$L$510*$I$169</f>
        <v>0</v>
      </c>
      <c r="I616" s="978">
        <f>$L$511*$I$169</f>
        <v>0</v>
      </c>
      <c r="J616" s="978">
        <f>$M$512*$I$169</f>
        <v>0</v>
      </c>
      <c r="K616" s="978">
        <f>$L$513*$I$169</f>
        <v>0</v>
      </c>
      <c r="L616" s="978">
        <f>$L$514*$I$169</f>
        <v>0</v>
      </c>
      <c r="M616" s="978">
        <f>$L$515*$I$169</f>
        <v>0</v>
      </c>
      <c r="N616" s="978">
        <f>$L$516*$I$169</f>
        <v>0</v>
      </c>
      <c r="O616" s="978">
        <f>$L$517*$I$169</f>
        <v>0</v>
      </c>
      <c r="P616" s="978">
        <f>$L$518*$I$169</f>
        <v>0</v>
      </c>
      <c r="Q616" s="560"/>
      <c r="R616" s="138"/>
      <c r="S616" s="9"/>
      <c r="T616" s="9"/>
      <c r="U616" s="9"/>
    </row>
    <row r="617" spans="1:21">
      <c r="A617" s="1370"/>
      <c r="B617" s="1482"/>
      <c r="C617" s="979" t="s">
        <v>803</v>
      </c>
      <c r="D617" s="971" t="s">
        <v>827</v>
      </c>
      <c r="E617" s="218">
        <v>0</v>
      </c>
      <c r="F617" s="218">
        <v>0</v>
      </c>
      <c r="G617" s="218">
        <v>0</v>
      </c>
      <c r="H617" s="218">
        <v>0</v>
      </c>
      <c r="I617" s="218">
        <v>0</v>
      </c>
      <c r="J617" s="218">
        <v>0</v>
      </c>
      <c r="K617" s="218">
        <v>0</v>
      </c>
      <c r="L617" s="218">
        <v>0</v>
      </c>
      <c r="M617" s="218">
        <v>0</v>
      </c>
      <c r="N617" s="218">
        <v>0</v>
      </c>
      <c r="O617" s="218">
        <v>0</v>
      </c>
      <c r="P617" s="977">
        <v>0</v>
      </c>
      <c r="Q617" s="560"/>
      <c r="R617" s="138"/>
      <c r="S617" s="138"/>
      <c r="T617" s="138"/>
      <c r="U617" s="138"/>
    </row>
    <row r="618" spans="1:21">
      <c r="A618" s="1370"/>
      <c r="B618" s="1482"/>
      <c r="C618" s="980"/>
      <c r="D618" s="973" t="s">
        <v>823</v>
      </c>
      <c r="E618" s="218">
        <v>0</v>
      </c>
      <c r="F618" s="218">
        <v>0</v>
      </c>
      <c r="G618" s="218">
        <v>0</v>
      </c>
      <c r="H618" s="218">
        <v>0</v>
      </c>
      <c r="I618" s="218">
        <v>0</v>
      </c>
      <c r="J618" s="218">
        <v>0</v>
      </c>
      <c r="K618" s="218">
        <v>0</v>
      </c>
      <c r="L618" s="218">
        <v>0</v>
      </c>
      <c r="M618" s="218">
        <v>0</v>
      </c>
      <c r="N618" s="218">
        <v>0</v>
      </c>
      <c r="O618" s="218">
        <v>0</v>
      </c>
      <c r="P618" s="977">
        <v>0</v>
      </c>
      <c r="Q618" s="560"/>
      <c r="R618" s="9"/>
      <c r="S618" s="9"/>
      <c r="T618" s="9"/>
      <c r="U618" s="9"/>
    </row>
    <row r="619" spans="1:21">
      <c r="A619" s="1370"/>
      <c r="B619" s="1482"/>
      <c r="C619" s="981"/>
      <c r="D619" s="975" t="s">
        <v>824</v>
      </c>
      <c r="E619" s="210">
        <v>0</v>
      </c>
      <c r="F619" s="210">
        <v>0</v>
      </c>
      <c r="G619" s="210">
        <v>0</v>
      </c>
      <c r="H619" s="210">
        <v>0</v>
      </c>
      <c r="I619" s="210">
        <v>0</v>
      </c>
      <c r="J619" s="210">
        <v>0</v>
      </c>
      <c r="K619" s="210">
        <v>0</v>
      </c>
      <c r="L619" s="210">
        <v>0</v>
      </c>
      <c r="M619" s="210">
        <v>0</v>
      </c>
      <c r="N619" s="210">
        <v>0</v>
      </c>
      <c r="O619" s="210">
        <v>0</v>
      </c>
      <c r="P619" s="978">
        <v>0</v>
      </c>
      <c r="Q619" s="560"/>
    </row>
    <row r="620" spans="1:21">
      <c r="A620" s="1370"/>
      <c r="B620" s="1482"/>
      <c r="C620" s="979" t="s">
        <v>802</v>
      </c>
      <c r="D620" s="971" t="s">
        <v>591</v>
      </c>
      <c r="E620" s="977">
        <f>$M$507*$I$226</f>
        <v>2.1905534150398073E-2</v>
      </c>
      <c r="F620" s="977">
        <f>M508*$I$229</f>
        <v>3.1043271253135558E-2</v>
      </c>
      <c r="G620" s="977">
        <f>M509*$I$229</f>
        <v>4.2058625568764316E-2</v>
      </c>
      <c r="H620" s="977">
        <f>M510*$I$229</f>
        <v>5.7079563271894417E-2</v>
      </c>
      <c r="I620" s="977">
        <f>M511*$I$229</f>
        <v>8.1113063596902596E-2</v>
      </c>
      <c r="J620" s="977">
        <f>M512*$I$229</f>
        <v>9.8136792993783389E-2</v>
      </c>
      <c r="K620" s="977">
        <f>M513*$I$229</f>
        <v>9.5132605453157368E-2</v>
      </c>
      <c r="L620" s="977">
        <f>M514*$I$229</f>
        <v>6.809491758752316E-2</v>
      </c>
      <c r="M620" s="977">
        <f>M515*$I$229</f>
        <v>4.6064208956265666E-2</v>
      </c>
      <c r="N620" s="977">
        <f>M516*$I$229</f>
        <v>3.5048854640636923E-2</v>
      </c>
      <c r="O620" s="977">
        <f>M517*$I$229</f>
        <v>2.5034896171883515E-2</v>
      </c>
      <c r="P620" s="977">
        <f>M518*$I$229</f>
        <v>2.1029312784382158E-2</v>
      </c>
      <c r="Q620" s="950"/>
    </row>
    <row r="621" spans="1:21">
      <c r="A621" s="1370"/>
      <c r="B621" s="1482"/>
      <c r="C621" s="980"/>
      <c r="D621" s="973" t="s">
        <v>825</v>
      </c>
      <c r="E621" s="218">
        <v>0</v>
      </c>
      <c r="F621" s="218">
        <v>0</v>
      </c>
      <c r="G621" s="218">
        <v>0</v>
      </c>
      <c r="H621" s="218">
        <v>0</v>
      </c>
      <c r="I621" s="218">
        <v>0</v>
      </c>
      <c r="J621" s="218">
        <v>0</v>
      </c>
      <c r="K621" s="218">
        <v>0</v>
      </c>
      <c r="L621" s="218">
        <v>0</v>
      </c>
      <c r="M621" s="218">
        <v>0</v>
      </c>
      <c r="N621" s="218">
        <v>0</v>
      </c>
      <c r="O621" s="218">
        <v>0</v>
      </c>
      <c r="P621" s="977">
        <v>0</v>
      </c>
      <c r="Q621" s="560"/>
    </row>
    <row r="622" spans="1:21">
      <c r="A622" s="1370"/>
      <c r="B622" s="1482"/>
      <c r="C622" s="980"/>
      <c r="D622" s="853" t="s">
        <v>858</v>
      </c>
      <c r="E622" s="1216">
        <f>E550*'1.Dati'!$K$122</f>
        <v>3.4540369791666663</v>
      </c>
      <c r="F622" s="1216">
        <f>F550*'1.Dati'!$K$122</f>
        <v>4.6554411458333327</v>
      </c>
      <c r="G622" s="1216">
        <f>G550*'1.Dati'!$K$122</f>
        <v>6.3073718750000012</v>
      </c>
      <c r="H622" s="1216">
        <f>H550*'1.Dati'!$K$122</f>
        <v>8.5600046874999993</v>
      </c>
      <c r="I622" s="1216">
        <f>I550*'1.Dati'!$K$122</f>
        <v>12.1642171875</v>
      </c>
      <c r="J622" s="1216">
        <f>J550*'1.Dati'!$K$122</f>
        <v>14.717201041666668</v>
      </c>
      <c r="K622" s="1216">
        <f>K550*'1.Dati'!$K$122</f>
        <v>14.266674479166666</v>
      </c>
      <c r="L622" s="1216">
        <f>L550*'1.Dati'!$K$122</f>
        <v>10.211935416666664</v>
      </c>
      <c r="M622" s="1216">
        <f>M550*'1.Dati'!$K$122</f>
        <v>6.9080739583333326</v>
      </c>
      <c r="N622" s="1216">
        <f>N550*'1.Dati'!$K$122</f>
        <v>5.2561432291666668</v>
      </c>
      <c r="O622" s="1216">
        <f>O550*'1.Dati'!$K$122</f>
        <v>3.7543880208333329</v>
      </c>
      <c r="P622" s="1216">
        <f>P550*'1.Dati'!$K$122</f>
        <v>3.1536859375000006</v>
      </c>
      <c r="Q622" s="560"/>
    </row>
    <row r="623" spans="1:21">
      <c r="A623" s="1370"/>
      <c r="B623" s="1482"/>
      <c r="C623" s="981"/>
      <c r="D623" s="852" t="s">
        <v>631</v>
      </c>
      <c r="E623" s="1216">
        <f>E551*'1.Dati'!$K$122</f>
        <v>3.4540369791666663</v>
      </c>
      <c r="F623" s="1216">
        <f>F551*'1.Dati'!$K$122</f>
        <v>4.6554411458333327</v>
      </c>
      <c r="G623" s="1216">
        <f>G551*'1.Dati'!$K$122</f>
        <v>6.3073718750000012</v>
      </c>
      <c r="H623" s="1216">
        <f>H551*'1.Dati'!$K$122</f>
        <v>8.5600046874999993</v>
      </c>
      <c r="I623" s="1216">
        <f>I551*'1.Dati'!$K$122</f>
        <v>12.1642171875</v>
      </c>
      <c r="J623" s="1216">
        <f>J551*'1.Dati'!$K$122</f>
        <v>14.717201041666668</v>
      </c>
      <c r="K623" s="1216">
        <f>K551*'1.Dati'!$K$122</f>
        <v>14.266674479166666</v>
      </c>
      <c r="L623" s="1216">
        <f>L551*'1.Dati'!$K$122</f>
        <v>10.211935416666664</v>
      </c>
      <c r="M623" s="1216">
        <f>M551*'1.Dati'!$K$122</f>
        <v>6.9080739583333326</v>
      </c>
      <c r="N623" s="1216">
        <f>N551*'1.Dati'!$K$122</f>
        <v>5.2561432291666668</v>
      </c>
      <c r="O623" s="1216">
        <f>O551*'1.Dati'!$K$122</f>
        <v>3.7543880208333329</v>
      </c>
      <c r="P623" s="1216">
        <f>P551*'1.Dati'!$K$122</f>
        <v>3.1536859375000006</v>
      </c>
      <c r="Q623" s="560"/>
    </row>
    <row r="624" spans="1:21">
      <c r="A624" s="1370"/>
      <c r="B624" s="1482"/>
      <c r="C624" s="980" t="s">
        <v>587</v>
      </c>
      <c r="D624" s="973" t="s">
        <v>592</v>
      </c>
      <c r="E624" s="218">
        <f>$M$507*$I$227</f>
        <v>1.2517448085941756E-2</v>
      </c>
      <c r="F624" s="218">
        <f>M508*$I$227</f>
        <v>1.6871343072356281E-2</v>
      </c>
      <c r="G624" s="218">
        <f>M509*$I$227</f>
        <v>2.2857948678676254E-2</v>
      </c>
      <c r="H624" s="218">
        <f>M510*$I$227</f>
        <v>3.1021501778203484E-2</v>
      </c>
      <c r="I624" s="218">
        <f>M511*$I$227</f>
        <v>4.4083186737447058E-2</v>
      </c>
      <c r="J624" s="218">
        <f>M512*$I$227</f>
        <v>5.3335213583577921E-2</v>
      </c>
      <c r="K624" s="218">
        <f>M513*$I$227</f>
        <v>5.1702502963672473E-2</v>
      </c>
      <c r="L624" s="218">
        <f>M514*$I$227</f>
        <v>3.7008107384523453E-2</v>
      </c>
      <c r="M624" s="218">
        <f>M515*$I$227</f>
        <v>2.5034896171883512E-2</v>
      </c>
      <c r="N624" s="218">
        <f>M516*$I$227</f>
        <v>1.9048290565563543E-2</v>
      </c>
      <c r="O624" s="218">
        <f>M517*$I$227</f>
        <v>1.3605921832545389E-2</v>
      </c>
      <c r="P624" s="218">
        <f>M518*$I$227</f>
        <v>1.1428974339338127E-2</v>
      </c>
      <c r="Q624" s="218"/>
    </row>
    <row r="625" spans="1:22">
      <c r="A625" s="1370"/>
      <c r="B625" s="1482"/>
      <c r="C625" s="980"/>
      <c r="D625" s="973" t="s">
        <v>834</v>
      </c>
      <c r="E625" s="218">
        <v>0</v>
      </c>
      <c r="F625" s="218">
        <v>0</v>
      </c>
      <c r="G625" s="218">
        <v>0</v>
      </c>
      <c r="H625" s="218">
        <v>0</v>
      </c>
      <c r="I625" s="218">
        <v>0</v>
      </c>
      <c r="J625" s="218">
        <v>0</v>
      </c>
      <c r="K625" s="218">
        <v>0</v>
      </c>
      <c r="L625" s="218">
        <v>0</v>
      </c>
      <c r="M625" s="218">
        <v>0</v>
      </c>
      <c r="N625" s="218">
        <v>0</v>
      </c>
      <c r="O625" s="218">
        <v>0</v>
      </c>
      <c r="P625" s="977">
        <v>0</v>
      </c>
      <c r="Q625" s="560"/>
    </row>
    <row r="626" spans="1:22">
      <c r="A626" s="1370"/>
      <c r="B626" s="1482"/>
      <c r="C626" s="981"/>
      <c r="D626" s="854" t="s">
        <v>859</v>
      </c>
      <c r="E626" s="1216">
        <f>E554*'1.Dati'!$K$122</f>
        <v>3.4540369791666663</v>
      </c>
      <c r="F626" s="1216">
        <f>F554*'1.Dati'!$K$122</f>
        <v>4.6554411458333327</v>
      </c>
      <c r="G626" s="1216">
        <f>G554*'1.Dati'!$K$122</f>
        <v>6.3073718750000012</v>
      </c>
      <c r="H626" s="1216">
        <f>H554*'1.Dati'!$K$122</f>
        <v>8.5600046874999993</v>
      </c>
      <c r="I626" s="1216">
        <f>I554*'1.Dati'!$K$122</f>
        <v>12.1642171875</v>
      </c>
      <c r="J626" s="1216">
        <f>J554*'1.Dati'!$K$122</f>
        <v>14.717201041666668</v>
      </c>
      <c r="K626" s="1216">
        <f>K554*'1.Dati'!$K$122</f>
        <v>14.266674479166666</v>
      </c>
      <c r="L626" s="1216">
        <f>L554*'1.Dati'!$K$122</f>
        <v>10.211935416666664</v>
      </c>
      <c r="M626" s="1216">
        <f>M554*'1.Dati'!$K$122</f>
        <v>6.9080739583333326</v>
      </c>
      <c r="N626" s="1216">
        <f>N554*'1.Dati'!$K$122</f>
        <v>5.2561432291666668</v>
      </c>
      <c r="O626" s="1216">
        <f>O554*'1.Dati'!$K$122</f>
        <v>3.7543880208333329</v>
      </c>
      <c r="P626" s="1216">
        <f>P554*'1.Dati'!$K$122</f>
        <v>3.1536859375000006</v>
      </c>
      <c r="Q626" s="560"/>
    </row>
    <row r="627" spans="1:22">
      <c r="A627" s="1370"/>
      <c r="B627" s="1482"/>
      <c r="C627" s="979" t="s">
        <v>20</v>
      </c>
      <c r="D627" s="971" t="s">
        <v>595</v>
      </c>
      <c r="E627" s="808">
        <f>$M$507*$I$228</f>
        <v>2.2218470352546617E-2</v>
      </c>
      <c r="F627" s="808">
        <f>M508*$I$228</f>
        <v>2.9946633953432396E-2</v>
      </c>
      <c r="G627" s="808">
        <f>M509*$I$228</f>
        <v>4.0572858904650351E-2</v>
      </c>
      <c r="H627" s="808">
        <f>M510*$I$228</f>
        <v>5.5063165656311183E-2</v>
      </c>
      <c r="I627" s="808">
        <f>M511*$I$228</f>
        <v>7.8247656458968529E-2</v>
      </c>
      <c r="J627" s="808">
        <f>M512*$I$228</f>
        <v>9.4670004110850817E-2</v>
      </c>
      <c r="K627" s="808">
        <f>M513*$I$228</f>
        <v>9.1771942760518643E-2</v>
      </c>
      <c r="L627" s="808">
        <f>M514*$I$228</f>
        <v>6.5689390607529125E-2</v>
      </c>
      <c r="M627" s="808">
        <f>M515*$I$228</f>
        <v>4.4436940705093235E-2</v>
      </c>
      <c r="N627" s="808">
        <f>M516*$I$228</f>
        <v>3.3810715753875287E-2</v>
      </c>
      <c r="O627" s="808">
        <f>M517*$I$228</f>
        <v>2.4150511252768063E-2</v>
      </c>
      <c r="P627" s="976">
        <f>M518*$I$228</f>
        <v>2.0286429452325175E-2</v>
      </c>
      <c r="Q627" s="560"/>
    </row>
    <row r="628" spans="1:22">
      <c r="A628" s="1370"/>
      <c r="B628" s="1482"/>
      <c r="C628" s="991"/>
      <c r="D628" s="973" t="s">
        <v>589</v>
      </c>
      <c r="E628" s="218">
        <f>$L$507*$I$229</f>
        <v>5.6078167425019074E-2</v>
      </c>
      <c r="F628" s="218">
        <f>L508*$I$229</f>
        <v>7.1099105128149181E-2</v>
      </c>
      <c r="G628" s="218">
        <f>L509*$I$229</f>
        <v>0.10013958468753406</v>
      </c>
      <c r="H628" s="218">
        <f>L510*$I$229</f>
        <v>0.12317168916566691</v>
      </c>
      <c r="I628" s="218">
        <f>L511*$I$229</f>
        <v>0.14420100195004906</v>
      </c>
      <c r="J628" s="218">
        <f>L512*$I$229</f>
        <v>0.15721914795942848</v>
      </c>
      <c r="K628" s="218">
        <f>L513*$I$229</f>
        <v>0.17424287735630928</v>
      </c>
      <c r="L628" s="218">
        <f>L514*$I$229</f>
        <v>0.15822054380630382</v>
      </c>
      <c r="M628" s="218">
        <f>L515*$I$229</f>
        <v>0.12217029331879156</v>
      </c>
      <c r="N628" s="218">
        <f>L516*$I$229</f>
        <v>8.9124230371905325E-2</v>
      </c>
      <c r="O628" s="218">
        <f>L517*$I$229</f>
        <v>6.2086542506271117E-2</v>
      </c>
      <c r="P628" s="977">
        <f>L518*$I$229</f>
        <v>4.9068396496891695E-2</v>
      </c>
      <c r="Q628" s="560"/>
    </row>
    <row r="629" spans="1:22">
      <c r="A629" s="1370"/>
      <c r="B629" s="1482"/>
      <c r="C629" s="991"/>
      <c r="D629" s="973" t="s">
        <v>621</v>
      </c>
      <c r="E629" s="218">
        <f>$L$507*$I$181</f>
        <v>0</v>
      </c>
      <c r="F629" s="977">
        <f>$L$508*$I$181</f>
        <v>0</v>
      </c>
      <c r="G629" s="138">
        <f>$L$509*$I$181</f>
        <v>0</v>
      </c>
      <c r="H629" s="977">
        <f>$L$510*$I$181</f>
        <v>0</v>
      </c>
      <c r="I629" s="138">
        <f>$L$511*$I$181</f>
        <v>0</v>
      </c>
      <c r="J629" s="977">
        <f>$L$512*$I$181</f>
        <v>0</v>
      </c>
      <c r="K629" s="138">
        <f>$L$513*$I$181</f>
        <v>0</v>
      </c>
      <c r="L629" s="977">
        <f>$L$514*$I$181</f>
        <v>0</v>
      </c>
      <c r="M629" s="138">
        <f>$L$515*$I$181</f>
        <v>0</v>
      </c>
      <c r="N629" s="977">
        <f>$L$516*$I$181</f>
        <v>0</v>
      </c>
      <c r="O629" s="138">
        <f>$L$517*$I$181</f>
        <v>0</v>
      </c>
      <c r="P629" s="977">
        <f>$L$518*$I$181</f>
        <v>0</v>
      </c>
      <c r="Q629" s="560"/>
      <c r="R629" s="138"/>
      <c r="S629" s="138"/>
      <c r="T629" s="138"/>
      <c r="U629" s="138"/>
      <c r="V629" s="9"/>
    </row>
    <row r="630" spans="1:22">
      <c r="A630" s="1370"/>
      <c r="B630" s="1482"/>
      <c r="C630" s="991"/>
      <c r="D630" s="849" t="s">
        <v>631</v>
      </c>
      <c r="E630" s="1216">
        <f>E558*'1.Dati'!$K$122</f>
        <v>3.4540369791666663</v>
      </c>
      <c r="F630" s="1216">
        <f>F558*'1.Dati'!$K$122</f>
        <v>4.6554411458333327</v>
      </c>
      <c r="G630" s="1216">
        <f>G558*'1.Dati'!$K$122</f>
        <v>6.3073718750000012</v>
      </c>
      <c r="H630" s="1216">
        <f>H558*'1.Dati'!$K$122</f>
        <v>8.5600046874999993</v>
      </c>
      <c r="I630" s="1216">
        <f>I558*'1.Dati'!$K$122</f>
        <v>12.1642171875</v>
      </c>
      <c r="J630" s="1216">
        <f>J558*'1.Dati'!$K$122</f>
        <v>14.717201041666668</v>
      </c>
      <c r="K630" s="1216">
        <f>K558*'1.Dati'!$K$122</f>
        <v>14.266674479166666</v>
      </c>
      <c r="L630" s="1216">
        <f>L558*'1.Dati'!$K$122</f>
        <v>10.211935416666664</v>
      </c>
      <c r="M630" s="1216">
        <f>M558*'1.Dati'!$K$122</f>
        <v>6.9080739583333326</v>
      </c>
      <c r="N630" s="1216">
        <f>N558*'1.Dati'!$K$122</f>
        <v>5.2561432291666668</v>
      </c>
      <c r="O630" s="1216">
        <f>O558*'1.Dati'!$K$122</f>
        <v>3.7543880208333329</v>
      </c>
      <c r="P630" s="1216">
        <f>P558*'1.Dati'!$K$122</f>
        <v>3.1536859375000006</v>
      </c>
      <c r="Q630" s="560"/>
      <c r="R630" s="138"/>
      <c r="S630" s="138"/>
      <c r="T630" s="138"/>
      <c r="U630" s="138"/>
      <c r="V630" s="9"/>
    </row>
    <row r="631" spans="1:22">
      <c r="A631" s="1370"/>
      <c r="B631" s="1482"/>
      <c r="C631" s="991"/>
      <c r="D631" s="851" t="s">
        <v>859</v>
      </c>
      <c r="E631" s="1216">
        <f>E559*'1.Dati'!$K$122</f>
        <v>8.4098291666666665</v>
      </c>
      <c r="F631" s="1216">
        <f>F559*'1.Dati'!$K$122</f>
        <v>10.662461979166666</v>
      </c>
      <c r="G631" s="1216">
        <f>G559*'1.Dati'!$K$122</f>
        <v>15.017552083333332</v>
      </c>
      <c r="H631" s="1216">
        <f>H559*'1.Dati'!$K$122</f>
        <v>18.471589062500001</v>
      </c>
      <c r="I631" s="1216">
        <f>I559*'1.Dati'!$K$122</f>
        <v>21.625274999999998</v>
      </c>
      <c r="J631" s="1216">
        <f>J559*'1.Dati'!$K$122</f>
        <v>23.577556770833329</v>
      </c>
      <c r="K631" s="1216">
        <f>K559*'1.Dati'!$K$122</f>
        <v>26.130540624999998</v>
      </c>
      <c r="L631" s="1216">
        <f>L559*'1.Dati'!$K$122</f>
        <v>23.727732291666662</v>
      </c>
      <c r="M631" s="1216">
        <f>M559*'1.Dati'!$K$122</f>
        <v>18.321413541666665</v>
      </c>
      <c r="N631" s="1216">
        <f>N559*'1.Dati'!$K$122</f>
        <v>13.365621354166667</v>
      </c>
      <c r="O631" s="1216">
        <f>O559*'1.Dati'!$K$122</f>
        <v>9.3108822916666636</v>
      </c>
      <c r="P631" s="1216">
        <f>P559*'1.Dati'!$K$122</f>
        <v>7.3586005208333338</v>
      </c>
      <c r="Q631" s="560"/>
      <c r="R631" s="138"/>
      <c r="S631" s="138"/>
      <c r="T631" s="138"/>
      <c r="U631" s="138"/>
      <c r="V631" s="9"/>
    </row>
    <row r="632" spans="1:22">
      <c r="A632" s="1370"/>
      <c r="B632" s="1482"/>
      <c r="C632" s="865"/>
      <c r="D632" s="940" t="s">
        <v>858</v>
      </c>
      <c r="E632" s="1216">
        <f>E560*'1.Dati'!$K$122</f>
        <v>8.4098291666666665</v>
      </c>
      <c r="F632" s="1216">
        <f>F560*'1.Dati'!$K$122</f>
        <v>10.662461979166666</v>
      </c>
      <c r="G632" s="1216">
        <f>G560*'1.Dati'!$K$122</f>
        <v>15.017552083333332</v>
      </c>
      <c r="H632" s="1216">
        <f>H560*'1.Dati'!$K$122</f>
        <v>18.471589062500001</v>
      </c>
      <c r="I632" s="1216">
        <f>I560*'1.Dati'!$K$122</f>
        <v>21.625274999999998</v>
      </c>
      <c r="J632" s="1216">
        <f>J560*'1.Dati'!$K$122</f>
        <v>23.577556770833329</v>
      </c>
      <c r="K632" s="1216">
        <f>K560*'1.Dati'!$K$122</f>
        <v>26.130540624999998</v>
      </c>
      <c r="L632" s="1216">
        <f>L560*'1.Dati'!$K$122</f>
        <v>23.727732291666662</v>
      </c>
      <c r="M632" s="1216">
        <f>M560*'1.Dati'!$K$122</f>
        <v>18.321413541666665</v>
      </c>
      <c r="N632" s="1216">
        <f>N560*'1.Dati'!$K$122</f>
        <v>13.365621354166667</v>
      </c>
      <c r="O632" s="1216">
        <f>O560*'1.Dati'!$K$122</f>
        <v>9.3108822916666636</v>
      </c>
      <c r="P632" s="1216">
        <f>P560*'1.Dati'!$K$122</f>
        <v>7.3586005208333338</v>
      </c>
      <c r="Q632" s="560"/>
      <c r="R632" s="138"/>
      <c r="S632" s="138"/>
      <c r="T632" s="138"/>
      <c r="U632" s="138"/>
      <c r="V632" s="9"/>
    </row>
    <row r="633" spans="1:22">
      <c r="A633" s="1370"/>
      <c r="B633" s="1482"/>
      <c r="C633" s="980" t="s">
        <v>586</v>
      </c>
      <c r="D633" s="973" t="s">
        <v>594</v>
      </c>
      <c r="E633" s="808">
        <f>$L$507*$I$230</f>
        <v>4.3582488814009383E-2</v>
      </c>
      <c r="F633" s="808">
        <f>L508*$I$230</f>
        <v>5.5256369746333328E-2</v>
      </c>
      <c r="G633" s="808">
        <f>L509*$I$230</f>
        <v>7.7825872882159614E-2</v>
      </c>
      <c r="H633" s="808">
        <f>L510*$I$230</f>
        <v>9.5725823645056343E-2</v>
      </c>
      <c r="I633" s="808">
        <f>L511*$I$230</f>
        <v>0.11206925695030985</v>
      </c>
      <c r="J633" s="808">
        <f>L512*$I$230</f>
        <v>0.12218662042499059</v>
      </c>
      <c r="K633" s="808">
        <f>L513*$I$230</f>
        <v>0.13541701881495774</v>
      </c>
      <c r="L633" s="808">
        <f>L514*$I$230</f>
        <v>0.12296487915381218</v>
      </c>
      <c r="M633" s="808">
        <f>L515*$I$230</f>
        <v>9.4947564916234739E-2</v>
      </c>
      <c r="N633" s="808">
        <f>L516*$I$230</f>
        <v>6.9265026865122065E-2</v>
      </c>
      <c r="O633" s="808">
        <f>L517*$I$230</f>
        <v>4.825204118693896E-2</v>
      </c>
      <c r="P633" s="976">
        <f>L518*$I$230</f>
        <v>3.8134677712258216E-2</v>
      </c>
      <c r="Q633" s="950"/>
      <c r="R633" s="138"/>
      <c r="S633" s="138"/>
      <c r="T633" s="138"/>
      <c r="U633" s="138"/>
      <c r="V633" s="9"/>
    </row>
    <row r="634" spans="1:22">
      <c r="A634" s="1370"/>
      <c r="B634" s="1482"/>
      <c r="C634" s="991"/>
      <c r="D634" s="973" t="s">
        <v>826</v>
      </c>
      <c r="E634" s="218">
        <v>0</v>
      </c>
      <c r="F634" s="218">
        <v>0</v>
      </c>
      <c r="G634" s="218">
        <v>0</v>
      </c>
      <c r="H634" s="218">
        <v>0</v>
      </c>
      <c r="I634" s="218">
        <v>0</v>
      </c>
      <c r="J634" s="218">
        <v>0</v>
      </c>
      <c r="K634" s="218">
        <v>0</v>
      </c>
      <c r="L634" s="218">
        <v>0</v>
      </c>
      <c r="M634" s="218">
        <v>0</v>
      </c>
      <c r="N634" s="218">
        <v>0</v>
      </c>
      <c r="O634" s="218">
        <v>0</v>
      </c>
      <c r="P634" s="977">
        <v>0</v>
      </c>
      <c r="Q634" s="560"/>
      <c r="R634" s="138"/>
      <c r="S634" s="138"/>
      <c r="T634" s="138"/>
      <c r="U634" s="138"/>
      <c r="V634" s="9"/>
    </row>
    <row r="635" spans="1:22">
      <c r="A635" s="1370"/>
      <c r="B635" s="1482"/>
      <c r="C635" s="865"/>
      <c r="D635" s="854" t="s">
        <v>859</v>
      </c>
      <c r="E635" s="1216">
        <f>E563*'1.Dati'!$K$122</f>
        <v>8.4098291666666665</v>
      </c>
      <c r="F635" s="1216">
        <f>F563*'1.Dati'!$K$122</f>
        <v>10.662461979166666</v>
      </c>
      <c r="G635" s="1216">
        <f>G563*'1.Dati'!$K$122</f>
        <v>15.017552083333332</v>
      </c>
      <c r="H635" s="1216">
        <f>H563*'1.Dati'!$K$122</f>
        <v>18.471589062500001</v>
      </c>
      <c r="I635" s="1216">
        <f>I563*'1.Dati'!$K$122</f>
        <v>21.625274999999998</v>
      </c>
      <c r="J635" s="1216">
        <f>J563*'1.Dati'!$K$122</f>
        <v>23.577556770833329</v>
      </c>
      <c r="K635" s="1216">
        <f>K563*'1.Dati'!$K$122</f>
        <v>26.130540624999998</v>
      </c>
      <c r="L635" s="1216">
        <f>L563*'1.Dati'!$K$122</f>
        <v>23.727732291666662</v>
      </c>
      <c r="M635" s="1216">
        <f>M563*'1.Dati'!$K$122</f>
        <v>18.321413541666665</v>
      </c>
      <c r="N635" s="1216">
        <f>N563*'1.Dati'!$K$122</f>
        <v>13.365621354166667</v>
      </c>
      <c r="O635" s="1216">
        <f>O563*'1.Dati'!$K$122</f>
        <v>9.3108822916666636</v>
      </c>
      <c r="P635" s="1216">
        <f>P563*'1.Dati'!$K$122</f>
        <v>7.3586005208333338</v>
      </c>
      <c r="Q635" s="560"/>
      <c r="R635" s="138"/>
      <c r="S635" s="138"/>
      <c r="T635" s="138"/>
      <c r="U635" s="138"/>
      <c r="V635" s="9"/>
    </row>
    <row r="636" spans="1:22">
      <c r="A636" s="1370"/>
      <c r="B636" s="1482"/>
      <c r="C636" s="979" t="s">
        <v>19</v>
      </c>
      <c r="D636" s="971" t="s">
        <v>599</v>
      </c>
      <c r="E636" s="808">
        <f>$L$507*$I$231</f>
        <v>4.8916010172367172E-2</v>
      </c>
      <c r="F636" s="808">
        <f>L508*$I$231</f>
        <v>6.2018512897108385E-2</v>
      </c>
      <c r="G636" s="808">
        <f>L509*$I$231</f>
        <v>8.7350018164941395E-2</v>
      </c>
      <c r="H636" s="808">
        <f>L510*$I$231</f>
        <v>0.10744052234287792</v>
      </c>
      <c r="I636" s="808">
        <f>L511*$I$231</f>
        <v>0.1257840261575156</v>
      </c>
      <c r="J636" s="808">
        <f>L512*$I$231</f>
        <v>0.13713952851895797</v>
      </c>
      <c r="K636" s="808">
        <f>L513*$I$231</f>
        <v>0.151989031606998</v>
      </c>
      <c r="L636" s="808">
        <f>L514*$I$231</f>
        <v>0.13801302870060739</v>
      </c>
      <c r="M636" s="808">
        <f>L515*$I$231</f>
        <v>0.1065670221612285</v>
      </c>
      <c r="N636" s="808">
        <f>L516*$I$231</f>
        <v>7.7741516166797836E-2</v>
      </c>
      <c r="O636" s="808">
        <f>L517*$I$231</f>
        <v>5.415701126226366E-2</v>
      </c>
      <c r="P636" s="976">
        <f>L518*$I$231</f>
        <v>4.2801508900821281E-2</v>
      </c>
      <c r="Q636" s="560"/>
      <c r="R636" s="138"/>
      <c r="S636" s="138"/>
      <c r="T636" s="138"/>
      <c r="U636" s="138"/>
      <c r="V636" s="9"/>
    </row>
    <row r="637" spans="1:22">
      <c r="A637" s="1370"/>
      <c r="B637" s="1482"/>
      <c r="C637" s="991"/>
      <c r="D637" s="973" t="s">
        <v>828</v>
      </c>
      <c r="E637" s="218">
        <v>0</v>
      </c>
      <c r="F637" s="977">
        <v>0</v>
      </c>
      <c r="G637" s="138">
        <v>0</v>
      </c>
      <c r="H637" s="977">
        <v>0</v>
      </c>
      <c r="I637" s="977">
        <v>0</v>
      </c>
      <c r="J637" s="138">
        <v>0</v>
      </c>
      <c r="K637" s="977">
        <v>0</v>
      </c>
      <c r="L637" s="138">
        <v>0</v>
      </c>
      <c r="M637" s="977">
        <v>0</v>
      </c>
      <c r="N637" s="138">
        <v>0</v>
      </c>
      <c r="O637" s="977">
        <v>0</v>
      </c>
      <c r="P637" s="800">
        <v>0</v>
      </c>
      <c r="Q637" s="560"/>
      <c r="R637" s="9"/>
      <c r="S637" s="9"/>
      <c r="T637" s="9"/>
      <c r="U637" s="9"/>
      <c r="V637" s="9"/>
    </row>
    <row r="638" spans="1:22">
      <c r="A638" s="1370"/>
      <c r="B638" s="1482"/>
      <c r="C638" s="991"/>
      <c r="D638" s="973" t="s">
        <v>620</v>
      </c>
      <c r="E638" s="218">
        <v>0</v>
      </c>
      <c r="F638" s="977">
        <v>0</v>
      </c>
      <c r="G638" s="138">
        <v>0</v>
      </c>
      <c r="H638" s="977">
        <v>0</v>
      </c>
      <c r="I638" s="977">
        <v>0</v>
      </c>
      <c r="J638" s="138">
        <v>0</v>
      </c>
      <c r="K638" s="977">
        <v>0</v>
      </c>
      <c r="L638" s="138">
        <v>0</v>
      </c>
      <c r="M638" s="977">
        <v>0</v>
      </c>
      <c r="N638" s="138">
        <v>0</v>
      </c>
      <c r="O638" s="977">
        <v>0</v>
      </c>
      <c r="P638" s="800">
        <v>0</v>
      </c>
      <c r="Q638" s="560"/>
      <c r="R638" s="9"/>
      <c r="S638" s="9"/>
      <c r="T638" s="9"/>
      <c r="U638" s="9"/>
      <c r="V638" s="9"/>
    </row>
    <row r="639" spans="1:22">
      <c r="A639" s="1370"/>
      <c r="B639" s="1483"/>
      <c r="C639" s="871"/>
      <c r="D639" s="852" t="s">
        <v>631</v>
      </c>
      <c r="E639" s="1216">
        <f>E567*'1.Dati'!$K$122</f>
        <v>8.4098291666666665</v>
      </c>
      <c r="F639" s="1216">
        <f>F567*'1.Dati'!$K$122</f>
        <v>10.662461979166666</v>
      </c>
      <c r="G639" s="1216">
        <f>G567*'1.Dati'!$K$122</f>
        <v>15.017552083333332</v>
      </c>
      <c r="H639" s="1216">
        <f>H567*'1.Dati'!$K$122</f>
        <v>18.471589062500001</v>
      </c>
      <c r="I639" s="1216">
        <f>I567*'1.Dati'!$K$122</f>
        <v>21.625274999999998</v>
      </c>
      <c r="J639" s="1216">
        <f>J567*'1.Dati'!$K$122</f>
        <v>23.577556770833329</v>
      </c>
      <c r="K639" s="1216">
        <f>K567*'1.Dati'!$K$122</f>
        <v>26.130540624999998</v>
      </c>
      <c r="L639" s="1216">
        <f>L567*'1.Dati'!$K$122</f>
        <v>23.727732291666662</v>
      </c>
      <c r="M639" s="1216">
        <f>M567*'1.Dati'!$K$122</f>
        <v>18.321413541666665</v>
      </c>
      <c r="N639" s="1216">
        <f>N567*'1.Dati'!$K$122</f>
        <v>13.365621354166667</v>
      </c>
      <c r="O639" s="1216">
        <f>O567*'1.Dati'!$K$122</f>
        <v>9.3108822916666636</v>
      </c>
      <c r="P639" s="1216">
        <f>P567*'1.Dati'!$K$122</f>
        <v>7.3586005208333338</v>
      </c>
      <c r="Q639" s="560"/>
      <c r="R639" s="9"/>
      <c r="S639" s="9"/>
      <c r="T639" s="9"/>
      <c r="U639" s="9"/>
      <c r="V639" s="9"/>
    </row>
    <row r="640" spans="1:22">
      <c r="A640" s="1370"/>
      <c r="B640" s="1372" t="s">
        <v>810</v>
      </c>
      <c r="C640" s="979" t="s">
        <v>9</v>
      </c>
      <c r="D640" s="972" t="s">
        <v>600</v>
      </c>
      <c r="E640" s="976">
        <f>$L$507*$I$233</f>
        <v>5.0287487093087745E-2</v>
      </c>
      <c r="F640" s="976">
        <f>L508*$I$233</f>
        <v>6.3757349707307689E-2</v>
      </c>
      <c r="G640" s="976">
        <f>L509*$I$233</f>
        <v>8.9799084094799558E-2</v>
      </c>
      <c r="H640" s="976">
        <f>L510*$I$233</f>
        <v>0.11045287343660347</v>
      </c>
      <c r="I640" s="976">
        <f>L511*$I$233</f>
        <v>0.12931068109651137</v>
      </c>
      <c r="J640" s="976">
        <f>L512*$I$233</f>
        <v>0.1409845620288353</v>
      </c>
      <c r="K640" s="976">
        <f>L513*$I$233</f>
        <v>0.15625040632495121</v>
      </c>
      <c r="L640" s="976">
        <f>L514*$I$233</f>
        <v>0.1418825528697833</v>
      </c>
      <c r="M640" s="976">
        <f>L515*$I$233</f>
        <v>0.10955488259565546</v>
      </c>
      <c r="N640" s="976">
        <f>L516*$I$233</f>
        <v>7.9921184844371607E-2</v>
      </c>
      <c r="O640" s="976">
        <f>L517*$I$233</f>
        <v>5.5675432138775724E-2</v>
      </c>
      <c r="P640" s="976">
        <f>L518*$I$233</f>
        <v>4.4001551206451786E-2</v>
      </c>
      <c r="Q640" s="560"/>
      <c r="R640" s="9"/>
      <c r="S640" s="9"/>
      <c r="T640" s="9"/>
      <c r="U640" s="9"/>
      <c r="V640" s="9"/>
    </row>
    <row r="641" spans="1:22">
      <c r="A641" s="1370"/>
      <c r="B641" s="1373"/>
      <c r="C641" s="980"/>
      <c r="D641" s="974" t="s">
        <v>846</v>
      </c>
      <c r="E641" s="977">
        <f>$N$507*$I$234</f>
        <v>5.3825026769549547E-2</v>
      </c>
      <c r="F641" s="977">
        <f>N508*$I$234</f>
        <v>5.9090518518744618E-2</v>
      </c>
      <c r="G641" s="977">
        <f>N509*$I$234</f>
        <v>7.0791611294733645E-2</v>
      </c>
      <c r="H641" s="977">
        <f>N510*$I$234</f>
        <v>7.3131829849931468E-2</v>
      </c>
      <c r="I641" s="977">
        <f>N511*$I$234</f>
        <v>7.4886993766329818E-2</v>
      </c>
      <c r="J641" s="977">
        <f>N512*$I$234</f>
        <v>7.6057103043928709E-2</v>
      </c>
      <c r="K641" s="977">
        <f>N513*$I$234</f>
        <v>8.5417977264719946E-2</v>
      </c>
      <c r="L641" s="977">
        <f>N514*$I$234</f>
        <v>8.8343250458717201E-2</v>
      </c>
      <c r="M641" s="977">
        <f>N515*$I$234</f>
        <v>8.0737540154324342E-2</v>
      </c>
      <c r="N641" s="977">
        <f>N516*$I$234</f>
        <v>7.0791611294733645E-2</v>
      </c>
      <c r="O641" s="977">
        <f>N517*$I$234</f>
        <v>5.7335354602346268E-2</v>
      </c>
      <c r="P641" s="977">
        <f>N518*$I$234</f>
        <v>4.7974480381555024E-2</v>
      </c>
      <c r="Q641" s="560"/>
      <c r="R641" s="9"/>
      <c r="S641" s="9"/>
      <c r="T641" s="9"/>
      <c r="U641" s="9"/>
      <c r="V641" s="9"/>
    </row>
    <row r="642" spans="1:22">
      <c r="A642" s="1370"/>
      <c r="B642" s="1373"/>
      <c r="C642" s="980"/>
      <c r="D642" s="974" t="s">
        <v>816</v>
      </c>
      <c r="E642" s="218">
        <v>0</v>
      </c>
      <c r="F642" s="977">
        <v>0</v>
      </c>
      <c r="G642" s="138">
        <v>0</v>
      </c>
      <c r="H642" s="977">
        <v>0</v>
      </c>
      <c r="I642" s="977">
        <v>0</v>
      </c>
      <c r="J642" s="138">
        <v>0</v>
      </c>
      <c r="K642" s="977">
        <v>0</v>
      </c>
      <c r="L642" s="138">
        <v>0</v>
      </c>
      <c r="M642" s="977">
        <v>0</v>
      </c>
      <c r="N642" s="138">
        <v>0</v>
      </c>
      <c r="O642" s="977">
        <v>0</v>
      </c>
      <c r="P642" s="800">
        <v>0</v>
      </c>
      <c r="Q642" s="560"/>
      <c r="R642" s="9"/>
      <c r="S642" s="9"/>
      <c r="T642" s="9"/>
      <c r="U642" s="9"/>
      <c r="V642" s="9"/>
    </row>
    <row r="643" spans="1:22">
      <c r="A643" s="1370"/>
      <c r="B643" s="1373"/>
      <c r="C643" s="981"/>
      <c r="D643" s="939" t="s">
        <v>618</v>
      </c>
      <c r="E643" s="1216">
        <f>E571*'1.Dati'!$K$122</f>
        <v>13.816147916666665</v>
      </c>
      <c r="F643" s="1216">
        <f>F571*'1.Dati'!$K$122</f>
        <v>15.167727604166664</v>
      </c>
      <c r="G643" s="1216">
        <f>G571*'1.Dati'!$K$122</f>
        <v>18.171238020833332</v>
      </c>
      <c r="H643" s="1216">
        <f>H571*'1.Dati'!$K$122</f>
        <v>18.771940104166667</v>
      </c>
      <c r="I643" s="1216">
        <f>I571*'1.Dati'!$K$122</f>
        <v>19.222466666666666</v>
      </c>
      <c r="J643" s="1216">
        <f>J571*'1.Dati'!$K$122</f>
        <v>19.522817708333331</v>
      </c>
      <c r="K643" s="1216">
        <f>K571*'1.Dati'!$K$122</f>
        <v>21.925626041666668</v>
      </c>
      <c r="L643" s="1216">
        <f>L571*'1.Dati'!$K$122</f>
        <v>22.676503645833336</v>
      </c>
      <c r="M643" s="1216">
        <f>M571*'1.Dati'!$K$122</f>
        <v>20.724221874999998</v>
      </c>
      <c r="N643" s="1216">
        <f>N571*'1.Dati'!$K$122</f>
        <v>18.171238020833332</v>
      </c>
      <c r="O643" s="1216">
        <f>O571*'1.Dati'!$K$122</f>
        <v>14.717201041666662</v>
      </c>
      <c r="P643" s="1216">
        <f>P571*'1.Dati'!$K$122</f>
        <v>12.31439270833333</v>
      </c>
      <c r="Q643" s="560"/>
      <c r="R643" s="9"/>
      <c r="S643" s="9"/>
      <c r="T643" s="9"/>
      <c r="U643" s="9"/>
      <c r="V643" s="9"/>
    </row>
    <row r="644" spans="1:22">
      <c r="A644" s="1370"/>
      <c r="B644" s="1373"/>
      <c r="C644" s="866" t="s">
        <v>804</v>
      </c>
      <c r="D644" s="973" t="s">
        <v>847</v>
      </c>
      <c r="E644" s="977">
        <f>$N$507*$I$235</f>
        <v>0.12717727255316824</v>
      </c>
      <c r="F644" s="977">
        <f>N508*$I$235</f>
        <v>0.13961852747684775</v>
      </c>
      <c r="G644" s="977">
        <f>N509*$I$235</f>
        <v>0.16726576064057996</v>
      </c>
      <c r="H644" s="977">
        <f>N510*$I$235</f>
        <v>0.17279520727332645</v>
      </c>
      <c r="I644" s="977">
        <f>N511*$I$235</f>
        <v>0.17694229224788627</v>
      </c>
      <c r="J644" s="977">
        <f>N512*$I$235</f>
        <v>0.17970701556425947</v>
      </c>
      <c r="K644" s="977">
        <f>N513*$I$235</f>
        <v>0.20182480209524525</v>
      </c>
      <c r="L644" s="977">
        <f>N514*$I$235</f>
        <v>0.20873661038617833</v>
      </c>
      <c r="M644" s="977">
        <f>N515*$I$235</f>
        <v>0.19076590882975239</v>
      </c>
      <c r="N644" s="977">
        <f>N516*$I$235</f>
        <v>0.16726576064057996</v>
      </c>
      <c r="O644" s="977">
        <f>N517*$I$235</f>
        <v>0.13547144250228793</v>
      </c>
      <c r="P644" s="977">
        <f>N518*$I$235</f>
        <v>0.11335365597130212</v>
      </c>
      <c r="Q644" s="218"/>
      <c r="R644" s="9"/>
      <c r="S644" s="9"/>
      <c r="T644" s="9"/>
      <c r="U644" s="9"/>
      <c r="V644" s="9"/>
    </row>
    <row r="645" spans="1:22">
      <c r="A645" s="1370"/>
      <c r="B645" s="1373"/>
      <c r="C645" s="866"/>
      <c r="D645" s="973" t="s">
        <v>848</v>
      </c>
      <c r="E645" s="977">
        <f>$K$507*$I$236</f>
        <v>0.12392273605082339</v>
      </c>
      <c r="F645" s="977">
        <f>K508*$I$236</f>
        <v>0.12715550307823617</v>
      </c>
      <c r="G645" s="977">
        <f>K509*$I$236</f>
        <v>0.13469862614219935</v>
      </c>
      <c r="H645" s="977">
        <f>K510*$I$236</f>
        <v>0.11530202397772264</v>
      </c>
      <c r="I645" s="977">
        <f>K511*$I$236</f>
        <v>0.10344854487720909</v>
      </c>
      <c r="J645" s="977">
        <f>K512*$I$236</f>
        <v>9.9138188840658711E-2</v>
      </c>
      <c r="K645" s="977">
        <f>K513*$I$236</f>
        <v>0.10775890091375948</v>
      </c>
      <c r="L645" s="977">
        <f>K514*$I$236</f>
        <v>0.12715550307823617</v>
      </c>
      <c r="M645" s="977">
        <f>K515*$I$236</f>
        <v>0.1422417492061625</v>
      </c>
      <c r="N645" s="977">
        <f>K516*$I$236</f>
        <v>0.14762969425185046</v>
      </c>
      <c r="O645" s="977">
        <f>K517*$I$236</f>
        <v>0.13038827010564896</v>
      </c>
      <c r="P645" s="977">
        <f>K518*$I$236</f>
        <v>0.11206925695030986</v>
      </c>
      <c r="Q645" s="560"/>
      <c r="R645" s="9"/>
      <c r="S645" s="9"/>
      <c r="T645" s="9"/>
      <c r="U645" s="9"/>
      <c r="V645" s="9"/>
    </row>
    <row r="646" spans="1:22">
      <c r="A646" s="1370"/>
      <c r="B646" s="1373"/>
      <c r="C646" s="866"/>
      <c r="D646" s="973" t="s">
        <v>815</v>
      </c>
      <c r="E646" s="218">
        <v>0</v>
      </c>
      <c r="F646" s="977">
        <v>0</v>
      </c>
      <c r="G646" s="138">
        <v>0</v>
      </c>
      <c r="H646" s="977">
        <v>0</v>
      </c>
      <c r="I646" s="977">
        <v>0</v>
      </c>
      <c r="J646" s="138">
        <v>0</v>
      </c>
      <c r="K646" s="977">
        <v>0</v>
      </c>
      <c r="L646" s="138">
        <v>0</v>
      </c>
      <c r="M646" s="977">
        <v>0</v>
      </c>
      <c r="N646" s="138">
        <v>0</v>
      </c>
      <c r="O646" s="977">
        <v>0</v>
      </c>
      <c r="P646" s="800">
        <v>0</v>
      </c>
      <c r="Q646" s="560"/>
      <c r="R646" s="9"/>
      <c r="S646" s="9"/>
      <c r="T646" s="9"/>
      <c r="U646" s="9"/>
      <c r="V646" s="9"/>
    </row>
    <row r="647" spans="1:22">
      <c r="A647" s="1370"/>
      <c r="B647" s="1373"/>
      <c r="C647" s="980"/>
      <c r="D647" s="973" t="s">
        <v>850</v>
      </c>
      <c r="E647" s="218">
        <v>0</v>
      </c>
      <c r="F647" s="977">
        <v>0</v>
      </c>
      <c r="G647" s="138">
        <v>0</v>
      </c>
      <c r="H647" s="977">
        <v>0</v>
      </c>
      <c r="I647" s="977">
        <v>0</v>
      </c>
      <c r="J647" s="138">
        <v>0</v>
      </c>
      <c r="K647" s="977">
        <v>0</v>
      </c>
      <c r="L647" s="138">
        <v>0</v>
      </c>
      <c r="M647" s="977">
        <v>0</v>
      </c>
      <c r="N647" s="138">
        <v>0</v>
      </c>
      <c r="O647" s="977">
        <v>0</v>
      </c>
      <c r="P647" s="800">
        <v>0</v>
      </c>
      <c r="Q647" s="560"/>
      <c r="R647" s="9"/>
      <c r="S647" s="9"/>
      <c r="T647" s="9"/>
      <c r="U647" s="9"/>
      <c r="V647" s="9"/>
    </row>
    <row r="648" spans="1:22">
      <c r="A648" s="1370"/>
      <c r="B648" s="1373"/>
      <c r="C648" s="980"/>
      <c r="D648" s="973" t="s">
        <v>849</v>
      </c>
      <c r="E648" s="218">
        <v>0</v>
      </c>
      <c r="F648" s="977">
        <v>0</v>
      </c>
      <c r="G648" s="138">
        <v>0</v>
      </c>
      <c r="H648" s="977">
        <v>0</v>
      </c>
      <c r="I648" s="977">
        <v>0</v>
      </c>
      <c r="J648" s="138">
        <v>0</v>
      </c>
      <c r="K648" s="977">
        <v>0</v>
      </c>
      <c r="L648" s="138">
        <v>0</v>
      </c>
      <c r="M648" s="977">
        <v>0</v>
      </c>
      <c r="N648" s="138">
        <v>0</v>
      </c>
      <c r="O648" s="977">
        <v>0</v>
      </c>
      <c r="P648" s="800">
        <v>0</v>
      </c>
      <c r="Q648" s="560"/>
      <c r="R648" s="138"/>
      <c r="S648" s="138"/>
      <c r="T648" s="138"/>
      <c r="U648" s="138"/>
      <c r="V648" s="9"/>
    </row>
    <row r="649" spans="1:22" ht="15" customHeight="1">
      <c r="A649" s="1370"/>
      <c r="B649" s="1373"/>
      <c r="C649" s="980"/>
      <c r="D649" s="847" t="s">
        <v>619</v>
      </c>
      <c r="E649" s="1216">
        <f>E577*'1.Dati'!$K$122</f>
        <v>13.816147916666665</v>
      </c>
      <c r="F649" s="1216">
        <f>F577*'1.Dati'!$K$122</f>
        <v>15.167727604166664</v>
      </c>
      <c r="G649" s="1216">
        <f>G577*'1.Dati'!$K$122</f>
        <v>18.171238020833332</v>
      </c>
      <c r="H649" s="1216">
        <f>H577*'1.Dati'!$K$122</f>
        <v>18.771940104166667</v>
      </c>
      <c r="I649" s="1216">
        <f>I577*'1.Dati'!$K$122</f>
        <v>19.222466666666666</v>
      </c>
      <c r="J649" s="1216">
        <f>J577*'1.Dati'!$K$122</f>
        <v>19.522817708333331</v>
      </c>
      <c r="K649" s="1216">
        <f>K577*'1.Dati'!$K$122</f>
        <v>21.925626041666668</v>
      </c>
      <c r="L649" s="1216">
        <f>L577*'1.Dati'!$K$122</f>
        <v>22.676503645833336</v>
      </c>
      <c r="M649" s="1216">
        <f>M577*'1.Dati'!$K$122</f>
        <v>20.724221874999998</v>
      </c>
      <c r="N649" s="1216">
        <f>N577*'1.Dati'!$K$122</f>
        <v>18.171238020833332</v>
      </c>
      <c r="O649" s="1216">
        <f>O577*'1.Dati'!$K$122</f>
        <v>14.717201041666662</v>
      </c>
      <c r="P649" s="1216">
        <f>P577*'1.Dati'!$K$122</f>
        <v>12.31439270833333</v>
      </c>
      <c r="Q649" s="560"/>
      <c r="R649" s="138"/>
      <c r="S649" s="138"/>
      <c r="T649" s="138"/>
      <c r="U649" s="9"/>
      <c r="V649" s="9"/>
    </row>
    <row r="650" spans="1:22">
      <c r="A650" s="1370"/>
      <c r="B650" s="1373"/>
      <c r="C650" s="981"/>
      <c r="D650" s="852" t="s">
        <v>631</v>
      </c>
      <c r="E650" s="1216">
        <f>E578*'1.Dati'!$K$122</f>
        <v>23.799609374999999</v>
      </c>
      <c r="F650" s="1216">
        <f>F578*'1.Dati'!$K$122</f>
        <v>24.420468749999998</v>
      </c>
      <c r="G650" s="1216">
        <f>G578*'1.Dati'!$K$122</f>
        <v>25.869140625</v>
      </c>
      <c r="H650" s="1216">
        <f>H578*'1.Dati'!$K$122</f>
        <v>22.143984375000002</v>
      </c>
      <c r="I650" s="1216">
        <f>I578*'1.Dati'!$K$122</f>
        <v>19.8675</v>
      </c>
      <c r="J650" s="1216">
        <f>J578*'1.Dati'!$K$122</f>
        <v>19.039687499999999</v>
      </c>
      <c r="K650" s="1216">
        <f>K578*'1.Dati'!$K$122</f>
        <v>20.6953125</v>
      </c>
      <c r="L650" s="1216">
        <f>L578*'1.Dati'!$K$122</f>
        <v>24.420468749999998</v>
      </c>
      <c r="M650" s="1216">
        <f>M578*'1.Dati'!$K$122</f>
        <v>27.317812500000002</v>
      </c>
      <c r="N650" s="1216">
        <f>N578*'1.Dati'!$K$122</f>
        <v>28.352578125000001</v>
      </c>
      <c r="O650" s="1216">
        <f>O578*'1.Dati'!$K$122</f>
        <v>25.041328125</v>
      </c>
      <c r="P650" s="1216">
        <f>P578*'1.Dati'!$K$122</f>
        <v>21.523125000000004</v>
      </c>
      <c r="Q650" s="560"/>
      <c r="R650" s="9"/>
      <c r="S650" s="9"/>
      <c r="T650" s="9"/>
      <c r="U650" s="9"/>
      <c r="V650" s="9"/>
    </row>
    <row r="651" spans="1:22">
      <c r="A651" s="1370"/>
      <c r="B651" s="1373"/>
      <c r="C651" s="980" t="s">
        <v>22</v>
      </c>
      <c r="D651" s="973" t="s">
        <v>828</v>
      </c>
      <c r="E651" s="218">
        <v>0</v>
      </c>
      <c r="F651" s="977">
        <v>0</v>
      </c>
      <c r="G651" s="138">
        <v>0</v>
      </c>
      <c r="H651" s="977">
        <v>0</v>
      </c>
      <c r="I651" s="977">
        <v>0</v>
      </c>
      <c r="J651" s="138">
        <v>0</v>
      </c>
      <c r="K651" s="977">
        <v>0</v>
      </c>
      <c r="L651" s="138">
        <v>0</v>
      </c>
      <c r="M651" s="977">
        <v>0</v>
      </c>
      <c r="N651" s="138">
        <v>0</v>
      </c>
      <c r="O651" s="977">
        <v>0</v>
      </c>
      <c r="P651" s="800">
        <v>0</v>
      </c>
      <c r="Q651" s="560"/>
      <c r="R651" s="9"/>
      <c r="S651" s="9"/>
      <c r="T651" s="9"/>
      <c r="U651" s="9"/>
      <c r="V651" s="9"/>
    </row>
    <row r="652" spans="1:22">
      <c r="A652" s="1370"/>
      <c r="B652" s="1373"/>
      <c r="C652" s="981"/>
      <c r="D652" s="975" t="s">
        <v>822</v>
      </c>
      <c r="E652" s="210">
        <v>0</v>
      </c>
      <c r="F652" s="978">
        <v>0</v>
      </c>
      <c r="G652" s="227">
        <v>0</v>
      </c>
      <c r="H652" s="978">
        <v>0</v>
      </c>
      <c r="I652" s="978">
        <v>0</v>
      </c>
      <c r="J652" s="227">
        <v>0</v>
      </c>
      <c r="K652" s="978">
        <v>0</v>
      </c>
      <c r="L652" s="227">
        <v>0</v>
      </c>
      <c r="M652" s="978">
        <v>0</v>
      </c>
      <c r="N652" s="227">
        <v>0</v>
      </c>
      <c r="O652" s="978">
        <v>0</v>
      </c>
      <c r="P652" s="801">
        <v>0</v>
      </c>
      <c r="Q652" s="560"/>
      <c r="R652" s="9"/>
      <c r="S652" s="9"/>
      <c r="T652" s="9"/>
      <c r="U652" s="9"/>
      <c r="V652" s="9"/>
    </row>
    <row r="653" spans="1:22">
      <c r="A653" s="1370"/>
      <c r="B653" s="1373"/>
      <c r="C653" s="979" t="s">
        <v>803</v>
      </c>
      <c r="D653" s="971" t="s">
        <v>852</v>
      </c>
      <c r="E653" s="218">
        <v>0</v>
      </c>
      <c r="F653" s="977">
        <v>0</v>
      </c>
      <c r="G653" s="138">
        <v>0</v>
      </c>
      <c r="H653" s="977">
        <v>0</v>
      </c>
      <c r="I653" s="977">
        <v>0</v>
      </c>
      <c r="J653" s="138">
        <v>0</v>
      </c>
      <c r="K653" s="977">
        <v>0</v>
      </c>
      <c r="L653" s="138">
        <v>0</v>
      </c>
      <c r="M653" s="977">
        <v>0</v>
      </c>
      <c r="N653" s="138">
        <v>0</v>
      </c>
      <c r="O653" s="977">
        <v>0</v>
      </c>
      <c r="P653" s="800">
        <v>0</v>
      </c>
      <c r="Q653" s="560"/>
      <c r="R653" s="9"/>
      <c r="S653" s="9"/>
      <c r="T653" s="9"/>
      <c r="U653" s="9"/>
      <c r="V653" s="9"/>
    </row>
    <row r="654" spans="1:22">
      <c r="A654" s="1370"/>
      <c r="B654" s="1373"/>
      <c r="C654" s="980"/>
      <c r="D654" s="973" t="s">
        <v>877</v>
      </c>
      <c r="E654" s="218">
        <v>0</v>
      </c>
      <c r="F654" s="977">
        <v>0</v>
      </c>
      <c r="G654" s="138">
        <v>0</v>
      </c>
      <c r="H654" s="977">
        <v>0</v>
      </c>
      <c r="I654" s="977">
        <v>0</v>
      </c>
      <c r="J654" s="138">
        <v>0</v>
      </c>
      <c r="K654" s="977">
        <v>0</v>
      </c>
      <c r="L654" s="138">
        <v>0</v>
      </c>
      <c r="M654" s="977">
        <v>0</v>
      </c>
      <c r="N654" s="138">
        <v>0</v>
      </c>
      <c r="O654" s="977">
        <v>0</v>
      </c>
      <c r="P654" s="800">
        <v>0</v>
      </c>
      <c r="Q654" s="560"/>
      <c r="R654" s="9"/>
      <c r="S654" s="9"/>
      <c r="T654" s="9"/>
      <c r="U654" s="9"/>
      <c r="V654" s="9"/>
    </row>
    <row r="655" spans="1:22">
      <c r="A655" s="1370"/>
      <c r="B655" s="1373"/>
      <c r="C655" s="981"/>
      <c r="D655" s="975" t="s">
        <v>824</v>
      </c>
      <c r="E655" s="210">
        <v>0</v>
      </c>
      <c r="F655" s="978">
        <v>0</v>
      </c>
      <c r="G655" s="227">
        <v>0</v>
      </c>
      <c r="H655" s="978">
        <v>0</v>
      </c>
      <c r="I655" s="978">
        <v>0</v>
      </c>
      <c r="J655" s="227">
        <v>0</v>
      </c>
      <c r="K655" s="978">
        <v>0</v>
      </c>
      <c r="L655" s="227">
        <v>0</v>
      </c>
      <c r="M655" s="978">
        <v>0</v>
      </c>
      <c r="N655" s="227">
        <v>0</v>
      </c>
      <c r="O655" s="978">
        <v>0</v>
      </c>
      <c r="P655" s="801">
        <v>0</v>
      </c>
      <c r="Q655" s="560"/>
      <c r="R655" s="9"/>
      <c r="S655" s="9"/>
      <c r="T655" s="9"/>
      <c r="U655" s="9"/>
      <c r="V655" s="9"/>
    </row>
    <row r="656" spans="1:22">
      <c r="A656" s="1370"/>
      <c r="B656" s="1373"/>
      <c r="C656" s="979" t="s">
        <v>802</v>
      </c>
      <c r="D656" s="971" t="s">
        <v>853</v>
      </c>
      <c r="E656" s="977">
        <f>$K$507*$I$242</f>
        <v>0.10952767075199037</v>
      </c>
      <c r="F656" s="977">
        <f>K508*$I$242</f>
        <v>0.1123849143368249</v>
      </c>
      <c r="G656" s="977">
        <f>K509*$I$242</f>
        <v>0.11905181603477215</v>
      </c>
      <c r="H656" s="977">
        <f>K510*$I$242</f>
        <v>0.10190835452576497</v>
      </c>
      <c r="I656" s="977">
        <f>K511*$I$242</f>
        <v>9.1431794714705E-2</v>
      </c>
      <c r="J656" s="977">
        <f>K512*$I$242</f>
        <v>8.7622136601592293E-2</v>
      </c>
      <c r="K656" s="977">
        <f>K513*$I$242</f>
        <v>9.5241452827817721E-2</v>
      </c>
      <c r="L656" s="977">
        <f>K514*$I$242</f>
        <v>0.1123849143368249</v>
      </c>
      <c r="M656" s="977">
        <f>K515*$I$242</f>
        <v>0.12571871773271939</v>
      </c>
      <c r="N656" s="977">
        <f>K516*$I$242</f>
        <v>0.13048079037411026</v>
      </c>
      <c r="O656" s="977">
        <f>K517*$I$242</f>
        <v>0.11524215792165943</v>
      </c>
      <c r="P656" s="977">
        <f>K518*$I$242</f>
        <v>9.9051110940930442E-2</v>
      </c>
      <c r="Q656" s="218"/>
      <c r="R656" s="9"/>
      <c r="S656" s="9"/>
      <c r="T656" s="9"/>
      <c r="U656" s="9"/>
    </row>
    <row r="657" spans="1:21">
      <c r="A657" s="1370"/>
      <c r="B657" s="1373"/>
      <c r="C657" s="980"/>
      <c r="D657" s="973" t="s">
        <v>825</v>
      </c>
      <c r="E657" s="218">
        <v>0</v>
      </c>
      <c r="F657" s="977">
        <v>0</v>
      </c>
      <c r="G657" s="138">
        <v>0</v>
      </c>
      <c r="H657" s="977">
        <v>0</v>
      </c>
      <c r="I657" s="977">
        <v>0</v>
      </c>
      <c r="J657" s="138">
        <v>0</v>
      </c>
      <c r="K657" s="977">
        <v>0</v>
      </c>
      <c r="L657" s="138">
        <v>0</v>
      </c>
      <c r="M657" s="977">
        <v>0</v>
      </c>
      <c r="N657" s="138">
        <v>0</v>
      </c>
      <c r="O657" s="977">
        <v>0</v>
      </c>
      <c r="P657" s="800">
        <v>0</v>
      </c>
      <c r="Q657" s="218"/>
      <c r="R657" s="9"/>
      <c r="S657" s="9"/>
      <c r="T657" s="9"/>
      <c r="U657" s="9"/>
    </row>
    <row r="658" spans="1:21">
      <c r="A658" s="1370"/>
      <c r="B658" s="1373"/>
      <c r="C658" s="980"/>
      <c r="D658" s="853" t="s">
        <v>858</v>
      </c>
      <c r="E658" s="1216">
        <f>E586*'1.Dati'!$K$122</f>
        <v>23.799609374999999</v>
      </c>
      <c r="F658" s="1216">
        <f>F586*'1.Dati'!$K$122</f>
        <v>24.420468749999998</v>
      </c>
      <c r="G658" s="1216">
        <f>G586*'1.Dati'!$K$122</f>
        <v>25.869140625</v>
      </c>
      <c r="H658" s="1216">
        <f>H586*'1.Dati'!$K$122</f>
        <v>22.143984375000002</v>
      </c>
      <c r="I658" s="1216">
        <f>I586*'1.Dati'!$K$122</f>
        <v>19.8675</v>
      </c>
      <c r="J658" s="1216">
        <f>J586*'1.Dati'!$K$122</f>
        <v>19.039687499999999</v>
      </c>
      <c r="K658" s="1216">
        <f>K586*'1.Dati'!$K$122</f>
        <v>20.6953125</v>
      </c>
      <c r="L658" s="1216">
        <f>L586*'1.Dati'!$K$122</f>
        <v>24.420468749999998</v>
      </c>
      <c r="M658" s="1216">
        <f>M586*'1.Dati'!$K$122</f>
        <v>27.317812500000002</v>
      </c>
      <c r="N658" s="1216">
        <f>N586*'1.Dati'!$K$122</f>
        <v>28.352578125000001</v>
      </c>
      <c r="O658" s="1216">
        <f>O586*'1.Dati'!$K$122</f>
        <v>25.041328125</v>
      </c>
      <c r="P658" s="1216">
        <f>P586*'1.Dati'!$K$122</f>
        <v>21.523125000000004</v>
      </c>
      <c r="Q658" s="14"/>
      <c r="R658" s="9"/>
      <c r="S658" s="9"/>
      <c r="T658" s="9"/>
      <c r="U658" s="9"/>
    </row>
    <row r="659" spans="1:21">
      <c r="A659" s="1370"/>
      <c r="B659" s="1373"/>
      <c r="C659" s="981"/>
      <c r="D659" s="852" t="s">
        <v>631</v>
      </c>
      <c r="E659" s="1216">
        <f>E587*'1.Dati'!$K$122</f>
        <v>23.799609374999999</v>
      </c>
      <c r="F659" s="1216">
        <f>F587*'1.Dati'!$K$122</f>
        <v>24.420468749999998</v>
      </c>
      <c r="G659" s="1216">
        <f>G587*'1.Dati'!$K$122</f>
        <v>25.869140625</v>
      </c>
      <c r="H659" s="1216">
        <f>H587*'1.Dati'!$K$122</f>
        <v>22.143984375000002</v>
      </c>
      <c r="I659" s="1216">
        <f>I587*'1.Dati'!$K$122</f>
        <v>19.8675</v>
      </c>
      <c r="J659" s="1216">
        <f>J587*'1.Dati'!$K$122</f>
        <v>19.039687499999999</v>
      </c>
      <c r="K659" s="1216">
        <f>K587*'1.Dati'!$K$122</f>
        <v>20.6953125</v>
      </c>
      <c r="L659" s="1216">
        <f>L587*'1.Dati'!$K$122</f>
        <v>24.420468749999998</v>
      </c>
      <c r="M659" s="1216">
        <f>M587*'1.Dati'!$K$122</f>
        <v>27.317812500000002</v>
      </c>
      <c r="N659" s="1216">
        <f>N587*'1.Dati'!$K$122</f>
        <v>28.352578125000001</v>
      </c>
      <c r="O659" s="1216">
        <f>O587*'1.Dati'!$K$122</f>
        <v>25.041328125</v>
      </c>
      <c r="P659" s="1216">
        <f>P587*'1.Dati'!$K$122</f>
        <v>21.523125000000004</v>
      </c>
      <c r="Q659" s="14"/>
      <c r="R659" s="9"/>
      <c r="S659" s="9"/>
      <c r="T659" s="9"/>
      <c r="U659" s="9"/>
    </row>
    <row r="660" spans="1:21">
      <c r="A660" s="1370"/>
      <c r="B660" s="1373"/>
      <c r="C660" s="980" t="s">
        <v>587</v>
      </c>
      <c r="D660" s="973" t="s">
        <v>602</v>
      </c>
      <c r="E660" s="977">
        <f>$K$507*$I$243</f>
        <v>6.2587240429708785E-2</v>
      </c>
      <c r="F660" s="977">
        <f>K508*$I$243</f>
        <v>6.4219951049614227E-2</v>
      </c>
      <c r="G660" s="977">
        <f>K509*$I$243</f>
        <v>6.8029609162726948E-2</v>
      </c>
      <c r="H660" s="977">
        <f>K510*$I$243</f>
        <v>5.8233345443294261E-2</v>
      </c>
      <c r="I660" s="977">
        <f>K511*$I$243</f>
        <v>5.2246739836974289E-2</v>
      </c>
      <c r="J660" s="977">
        <f>K512*$I$243</f>
        <v>5.0069792343767024E-2</v>
      </c>
      <c r="K660" s="977">
        <f>K513*$I$243</f>
        <v>5.4423687330181554E-2</v>
      </c>
      <c r="L660" s="977">
        <f>K514*$I$243</f>
        <v>6.4219951049614227E-2</v>
      </c>
      <c r="M660" s="977">
        <f>K515*$I$243</f>
        <v>7.1839267275839641E-2</v>
      </c>
      <c r="N660" s="977">
        <f>K516*$I$243</f>
        <v>7.456045164234873E-2</v>
      </c>
      <c r="O660" s="977">
        <f>K517*$I$243</f>
        <v>6.5852661669519669E-2</v>
      </c>
      <c r="P660" s="977">
        <f>K518*$I$243</f>
        <v>5.6600634823388826E-2</v>
      </c>
      <c r="Q660" s="14"/>
      <c r="R660" s="138"/>
      <c r="S660" s="138"/>
      <c r="T660" s="138"/>
      <c r="U660" s="138"/>
    </row>
    <row r="661" spans="1:21">
      <c r="A661" s="1370"/>
      <c r="B661" s="1373"/>
      <c r="C661" s="980"/>
      <c r="D661" s="973" t="s">
        <v>834</v>
      </c>
      <c r="E661" s="218">
        <v>0</v>
      </c>
      <c r="F661" s="977">
        <v>0</v>
      </c>
      <c r="G661" s="138">
        <v>0</v>
      </c>
      <c r="H661" s="977">
        <v>0</v>
      </c>
      <c r="I661" s="977">
        <v>0</v>
      </c>
      <c r="J661" s="138">
        <v>0</v>
      </c>
      <c r="K661" s="977">
        <v>0</v>
      </c>
      <c r="L661" s="138">
        <v>0</v>
      </c>
      <c r="M661" s="977">
        <v>0</v>
      </c>
      <c r="N661" s="138">
        <v>0</v>
      </c>
      <c r="O661" s="977">
        <v>0</v>
      </c>
      <c r="P661" s="800">
        <v>0</v>
      </c>
      <c r="Q661" s="14"/>
      <c r="R661" s="138"/>
      <c r="S661" s="138"/>
      <c r="T661" s="138"/>
      <c r="U661" s="138"/>
    </row>
    <row r="662" spans="1:21">
      <c r="A662" s="1370"/>
      <c r="B662" s="1373"/>
      <c r="C662" s="981"/>
      <c r="D662" s="854" t="s">
        <v>859</v>
      </c>
      <c r="E662" s="1216">
        <f>E590*'1.Dati'!$K$122</f>
        <v>23.799609374999999</v>
      </c>
      <c r="F662" s="1216">
        <f>F590*'1.Dati'!$K$122</f>
        <v>24.420468749999998</v>
      </c>
      <c r="G662" s="1216">
        <f>G590*'1.Dati'!$K$122</f>
        <v>25.869140625</v>
      </c>
      <c r="H662" s="1216">
        <f>H590*'1.Dati'!$K$122</f>
        <v>22.143984375000002</v>
      </c>
      <c r="I662" s="1216">
        <f>I590*'1.Dati'!$K$122</f>
        <v>19.8675</v>
      </c>
      <c r="J662" s="1216">
        <f>J590*'1.Dati'!$K$122</f>
        <v>19.039687499999999</v>
      </c>
      <c r="K662" s="1216">
        <f>K590*'1.Dati'!$K$122</f>
        <v>20.6953125</v>
      </c>
      <c r="L662" s="1216">
        <f>L590*'1.Dati'!$K$122</f>
        <v>24.420468749999998</v>
      </c>
      <c r="M662" s="1216">
        <f>M590*'1.Dati'!$K$122</f>
        <v>27.317812500000002</v>
      </c>
      <c r="N662" s="1216">
        <f>N590*'1.Dati'!$K$122</f>
        <v>28.352578125000001</v>
      </c>
      <c r="O662" s="1216">
        <f>O590*'1.Dati'!$K$122</f>
        <v>25.041328125</v>
      </c>
      <c r="P662" s="1216">
        <f>P590*'1.Dati'!$K$122</f>
        <v>21.523125000000004</v>
      </c>
      <c r="Q662" s="14"/>
      <c r="R662" s="138"/>
      <c r="S662" s="138"/>
      <c r="T662" s="138"/>
      <c r="U662" s="138"/>
    </row>
    <row r="663" spans="1:21">
      <c r="A663" s="1370"/>
      <c r="B663" s="1373"/>
      <c r="C663" s="979" t="s">
        <v>20</v>
      </c>
      <c r="D663" s="971" t="s">
        <v>598</v>
      </c>
      <c r="E663" s="977">
        <f>$K$507*$I$244</f>
        <v>0.11109235176273308</v>
      </c>
      <c r="F663" s="977">
        <f>K508*$I$244</f>
        <v>0.11399041311306525</v>
      </c>
      <c r="G663" s="977">
        <f>K509*$I$244</f>
        <v>0.12075255626384032</v>
      </c>
      <c r="H663" s="977">
        <f>K510*$I$244</f>
        <v>0.10336418816184731</v>
      </c>
      <c r="I663" s="977">
        <f>K511*$I$244</f>
        <v>9.2737963210629354E-2</v>
      </c>
      <c r="J663" s="977">
        <f>K512*$I$244</f>
        <v>8.887388141018647E-2</v>
      </c>
      <c r="K663" s="977">
        <f>K513*$I$244</f>
        <v>9.6602045011072252E-2</v>
      </c>
      <c r="L663" s="977">
        <f>K514*$I$244</f>
        <v>0.11399041311306525</v>
      </c>
      <c r="M663" s="977">
        <f>K515*$I$244</f>
        <v>0.12751469941461538</v>
      </c>
      <c r="N663" s="977">
        <f>K516*$I$244</f>
        <v>0.13234480166516899</v>
      </c>
      <c r="O663" s="977">
        <f>K517*$I$244</f>
        <v>0.11688847446339741</v>
      </c>
      <c r="P663" s="977">
        <f>K518*$I$244</f>
        <v>0.10046612681151516</v>
      </c>
      <c r="Q663" s="14"/>
      <c r="R663" s="138"/>
      <c r="S663" s="138"/>
      <c r="T663" s="138"/>
      <c r="U663" s="138"/>
    </row>
    <row r="664" spans="1:21">
      <c r="A664" s="1370"/>
      <c r="B664" s="1373"/>
      <c r="C664" s="991"/>
      <c r="D664" s="973" t="s">
        <v>601</v>
      </c>
      <c r="E664" s="977">
        <f>$L$507*$I$245</f>
        <v>5.6078167425019074E-2</v>
      </c>
      <c r="F664" s="977">
        <f>L508*$I$245</f>
        <v>7.1099105128149181E-2</v>
      </c>
      <c r="G664" s="977">
        <f>L509*$I$245</f>
        <v>0.10013958468753406</v>
      </c>
      <c r="H664" s="977">
        <f>L510*$I$245</f>
        <v>0.12317168916566691</v>
      </c>
      <c r="I664" s="977">
        <f>L511*$I$245</f>
        <v>0.14420100195004906</v>
      </c>
      <c r="J664" s="977">
        <f>L512*$I$245</f>
        <v>0.15721914795942848</v>
      </c>
      <c r="K664" s="977">
        <f>L513*$I$245</f>
        <v>0.17424287735630928</v>
      </c>
      <c r="L664" s="977">
        <f>L514*$I$245</f>
        <v>0.15822054380630382</v>
      </c>
      <c r="M664" s="977">
        <f>L515*$I$245</f>
        <v>0.12217029331879156</v>
      </c>
      <c r="N664" s="977">
        <f>L516*$I$245</f>
        <v>8.9124230371905325E-2</v>
      </c>
      <c r="O664" s="977">
        <f>L517*$I$245</f>
        <v>6.2086542506271117E-2</v>
      </c>
      <c r="P664" s="977">
        <f>L518*$I$245</f>
        <v>4.9068396496891695E-2</v>
      </c>
      <c r="Q664" s="14"/>
      <c r="R664" s="9"/>
      <c r="S664" s="9"/>
      <c r="T664" s="9"/>
      <c r="U664" s="9"/>
    </row>
    <row r="665" spans="1:21">
      <c r="A665" s="1370"/>
      <c r="B665" s="1373"/>
      <c r="C665" s="991"/>
      <c r="D665" s="973" t="s">
        <v>621</v>
      </c>
      <c r="E665" s="218">
        <v>0</v>
      </c>
      <c r="F665" s="977">
        <v>0</v>
      </c>
      <c r="G665" s="138">
        <v>0</v>
      </c>
      <c r="H665" s="977">
        <v>0</v>
      </c>
      <c r="I665" s="977">
        <v>0</v>
      </c>
      <c r="J665" s="138">
        <v>0</v>
      </c>
      <c r="K665" s="977">
        <v>0</v>
      </c>
      <c r="L665" s="138">
        <v>0</v>
      </c>
      <c r="M665" s="977">
        <v>0</v>
      </c>
      <c r="N665" s="138">
        <v>0</v>
      </c>
      <c r="O665" s="977">
        <v>0</v>
      </c>
      <c r="P665" s="800">
        <v>0</v>
      </c>
      <c r="Q665" s="14"/>
    </row>
    <row r="666" spans="1:21">
      <c r="A666" s="1370"/>
      <c r="B666" s="1373"/>
      <c r="C666" s="991"/>
      <c r="D666" s="849" t="s">
        <v>631</v>
      </c>
      <c r="E666" s="1216">
        <f>E594*'1.Dati'!$K$122</f>
        <v>23.799609374999999</v>
      </c>
      <c r="F666" s="1216">
        <f>F594*'1.Dati'!$K$122</f>
        <v>24.420468749999998</v>
      </c>
      <c r="G666" s="1216">
        <f>G594*'1.Dati'!$K$122</f>
        <v>25.869140625</v>
      </c>
      <c r="H666" s="1216">
        <f>H594*'1.Dati'!$K$122</f>
        <v>22.143984375000002</v>
      </c>
      <c r="I666" s="1216">
        <f>I594*'1.Dati'!$K$122</f>
        <v>19.8675</v>
      </c>
      <c r="J666" s="1216">
        <f>J594*'1.Dati'!$K$122</f>
        <v>19.039687499999999</v>
      </c>
      <c r="K666" s="1216">
        <f>K594*'1.Dati'!$K$122</f>
        <v>20.6953125</v>
      </c>
      <c r="L666" s="1216">
        <f>L594*'1.Dati'!$K$122</f>
        <v>24.420468749999998</v>
      </c>
      <c r="M666" s="1216">
        <f>M594*'1.Dati'!$K$122</f>
        <v>27.317812500000002</v>
      </c>
      <c r="N666" s="1216">
        <f>N594*'1.Dati'!$K$122</f>
        <v>28.352578125000001</v>
      </c>
      <c r="O666" s="1216">
        <f>O594*'1.Dati'!$K$122</f>
        <v>25.041328125</v>
      </c>
      <c r="P666" s="1216">
        <f>P594*'1.Dati'!$K$122</f>
        <v>21.523125000000004</v>
      </c>
      <c r="Q666" s="14"/>
    </row>
    <row r="667" spans="1:21">
      <c r="A667" s="1370"/>
      <c r="B667" s="1373"/>
      <c r="C667" s="991"/>
      <c r="D667" s="851" t="s">
        <v>859</v>
      </c>
      <c r="E667" s="1216">
        <f>E595*'1.Dati'!$K$122</f>
        <v>8.4098291666666665</v>
      </c>
      <c r="F667" s="1216">
        <f>F595*'1.Dati'!$K$122</f>
        <v>10.662461979166666</v>
      </c>
      <c r="G667" s="1216">
        <f>G595*'1.Dati'!$K$122</f>
        <v>15.017552083333332</v>
      </c>
      <c r="H667" s="1216">
        <f>H595*'1.Dati'!$K$122</f>
        <v>18.471589062500001</v>
      </c>
      <c r="I667" s="1216">
        <f>I595*'1.Dati'!$K$122</f>
        <v>21.625274999999998</v>
      </c>
      <c r="J667" s="1216">
        <f>J595*'1.Dati'!$K$122</f>
        <v>23.577556770833329</v>
      </c>
      <c r="K667" s="1216">
        <f>K595*'1.Dati'!$K$122</f>
        <v>26.130540624999998</v>
      </c>
      <c r="L667" s="1216">
        <f>L595*'1.Dati'!$K$122</f>
        <v>23.727732291666662</v>
      </c>
      <c r="M667" s="1216">
        <f>M595*'1.Dati'!$K$122</f>
        <v>18.321413541666665</v>
      </c>
      <c r="N667" s="1216">
        <f>N595*'1.Dati'!$K$122</f>
        <v>13.365621354166667</v>
      </c>
      <c r="O667" s="1216">
        <f>O595*'1.Dati'!$K$122</f>
        <v>9.3108822916666636</v>
      </c>
      <c r="P667" s="1216">
        <f>P595*'1.Dati'!$K$122</f>
        <v>7.3586005208333338</v>
      </c>
      <c r="Q667" s="14"/>
    </row>
    <row r="668" spans="1:21">
      <c r="A668" s="1370"/>
      <c r="B668" s="1373"/>
      <c r="C668" s="865"/>
      <c r="D668" s="940" t="s">
        <v>858</v>
      </c>
      <c r="E668" s="1216">
        <f>E596*'1.Dati'!$K$122</f>
        <v>8.4098291666666665</v>
      </c>
      <c r="F668" s="1216">
        <f>F596*'1.Dati'!$K$122</f>
        <v>10.662461979166666</v>
      </c>
      <c r="G668" s="1216">
        <f>G596*'1.Dati'!$K$122</f>
        <v>15.017552083333332</v>
      </c>
      <c r="H668" s="1216">
        <f>H596*'1.Dati'!$K$122</f>
        <v>18.471589062500001</v>
      </c>
      <c r="I668" s="1216">
        <f>I596*'1.Dati'!$K$122</f>
        <v>21.625274999999998</v>
      </c>
      <c r="J668" s="1216">
        <f>J596*'1.Dati'!$K$122</f>
        <v>23.577556770833329</v>
      </c>
      <c r="K668" s="1216">
        <f>K596*'1.Dati'!$K$122</f>
        <v>26.130540624999998</v>
      </c>
      <c r="L668" s="1216">
        <f>L596*'1.Dati'!$K$122</f>
        <v>23.727732291666662</v>
      </c>
      <c r="M668" s="1216">
        <f>M596*'1.Dati'!$K$122</f>
        <v>18.321413541666665</v>
      </c>
      <c r="N668" s="1216">
        <f>N596*'1.Dati'!$K$122</f>
        <v>13.365621354166667</v>
      </c>
      <c r="O668" s="1216">
        <f>O596*'1.Dati'!$K$122</f>
        <v>9.3108822916666636</v>
      </c>
      <c r="P668" s="1216">
        <f>P596*'1.Dati'!$K$122</f>
        <v>7.3586005208333338</v>
      </c>
      <c r="Q668" s="14"/>
    </row>
    <row r="669" spans="1:21">
      <c r="A669" s="1370"/>
      <c r="B669" s="1373"/>
      <c r="C669" s="980" t="s">
        <v>586</v>
      </c>
      <c r="D669" s="973" t="s">
        <v>597</v>
      </c>
      <c r="E669" s="977">
        <f>$L$507*$I$246</f>
        <v>4.3582488814009383E-2</v>
      </c>
      <c r="F669" s="977">
        <f>L508*$I$246</f>
        <v>5.5256369746333328E-2</v>
      </c>
      <c r="G669" s="977">
        <f>L509*$I$246</f>
        <v>7.7825872882159614E-2</v>
      </c>
      <c r="H669" s="977">
        <f>L510*$I$246</f>
        <v>9.5725823645056343E-2</v>
      </c>
      <c r="I669" s="977">
        <f>L511*$I$246</f>
        <v>0.11206925695030985</v>
      </c>
      <c r="J669" s="977">
        <f>L512*$I$246</f>
        <v>0.12218662042499059</v>
      </c>
      <c r="K669" s="977">
        <f>L513*$I$246</f>
        <v>0.13541701881495774</v>
      </c>
      <c r="L669" s="977">
        <f>L514*$I$246</f>
        <v>0.12296487915381218</v>
      </c>
      <c r="M669" s="977">
        <f>L515*$I$246</f>
        <v>9.4947564916234739E-2</v>
      </c>
      <c r="N669" s="977">
        <f>L516*$I$246</f>
        <v>6.9265026865122065E-2</v>
      </c>
      <c r="O669" s="977">
        <f>L517*$I$246</f>
        <v>4.825204118693896E-2</v>
      </c>
      <c r="P669" s="977">
        <f>L518*$I$246</f>
        <v>3.8134677712258216E-2</v>
      </c>
      <c r="Q669" s="14"/>
    </row>
    <row r="670" spans="1:21">
      <c r="A670" s="1370"/>
      <c r="B670" s="1373"/>
      <c r="C670" s="991"/>
      <c r="D670" s="973" t="s">
        <v>826</v>
      </c>
      <c r="E670" s="218">
        <v>0</v>
      </c>
      <c r="F670" s="977">
        <v>0</v>
      </c>
      <c r="G670" s="138">
        <v>0</v>
      </c>
      <c r="H670" s="977">
        <v>0</v>
      </c>
      <c r="I670" s="977">
        <v>0</v>
      </c>
      <c r="J670" s="138">
        <v>0</v>
      </c>
      <c r="K670" s="977">
        <v>0</v>
      </c>
      <c r="L670" s="138">
        <v>0</v>
      </c>
      <c r="M670" s="977">
        <v>0</v>
      </c>
      <c r="N670" s="138">
        <v>0</v>
      </c>
      <c r="O670" s="977">
        <v>0</v>
      </c>
      <c r="P670" s="800">
        <v>0</v>
      </c>
      <c r="Q670" s="14"/>
    </row>
    <row r="671" spans="1:21">
      <c r="A671" s="1370"/>
      <c r="B671" s="1373"/>
      <c r="C671" s="865"/>
      <c r="D671" s="854" t="s">
        <v>859</v>
      </c>
      <c r="E671" s="1216">
        <f>E599*'1.Dati'!$K$122</f>
        <v>8.4098291666666665</v>
      </c>
      <c r="F671" s="1216">
        <f>F599*'1.Dati'!$K$122</f>
        <v>10.662461979166666</v>
      </c>
      <c r="G671" s="1216">
        <f>G599*'1.Dati'!$K$122</f>
        <v>15.017552083333332</v>
      </c>
      <c r="H671" s="1216">
        <f>H599*'1.Dati'!$K$122</f>
        <v>18.471589062500001</v>
      </c>
      <c r="I671" s="1216">
        <f>I599*'1.Dati'!$K$122</f>
        <v>21.625274999999998</v>
      </c>
      <c r="J671" s="1216">
        <f>J599*'1.Dati'!$K$122</f>
        <v>23.577556770833329</v>
      </c>
      <c r="K671" s="1216">
        <f>K599*'1.Dati'!$K$122</f>
        <v>26.130540624999998</v>
      </c>
      <c r="L671" s="1216">
        <f>L599*'1.Dati'!$K$122</f>
        <v>23.727732291666662</v>
      </c>
      <c r="M671" s="1216">
        <f>M599*'1.Dati'!$K$122</f>
        <v>18.321413541666665</v>
      </c>
      <c r="N671" s="1216">
        <f>N599*'1.Dati'!$K$122</f>
        <v>13.365621354166667</v>
      </c>
      <c r="O671" s="1216">
        <f>O599*'1.Dati'!$K$122</f>
        <v>9.3108822916666636</v>
      </c>
      <c r="P671" s="1216">
        <f>P599*'1.Dati'!$K$122</f>
        <v>7.3586005208333338</v>
      </c>
      <c r="Q671" s="14"/>
    </row>
    <row r="672" spans="1:21">
      <c r="A672" s="1370"/>
      <c r="B672" s="1373"/>
      <c r="C672" s="979" t="s">
        <v>19</v>
      </c>
      <c r="D672" s="971" t="s">
        <v>596</v>
      </c>
      <c r="E672" s="977">
        <f>$L$507*$I$247</f>
        <v>4.8916010172367172E-2</v>
      </c>
      <c r="F672" s="977">
        <f>L508*$I$247</f>
        <v>6.2018512897108385E-2</v>
      </c>
      <c r="G672" s="977">
        <f>L509*$I$247</f>
        <v>8.7350018164941395E-2</v>
      </c>
      <c r="H672" s="977">
        <f>L510*$I$247</f>
        <v>0.10744052234287792</v>
      </c>
      <c r="I672" s="977">
        <f>L511*$I$247</f>
        <v>0.1257840261575156</v>
      </c>
      <c r="J672" s="977">
        <f>L512*$I$247</f>
        <v>0.13713952851895797</v>
      </c>
      <c r="K672" s="977">
        <f>L513*$I$247</f>
        <v>0.151989031606998</v>
      </c>
      <c r="L672" s="977">
        <f>L514*$I$247</f>
        <v>0.13801302870060739</v>
      </c>
      <c r="M672" s="977">
        <f>L515*$I$247</f>
        <v>0.1065670221612285</v>
      </c>
      <c r="N672" s="977">
        <f>L516*$I$247</f>
        <v>7.7741516166797836E-2</v>
      </c>
      <c r="O672" s="977">
        <f>L517*$I$247</f>
        <v>5.415701126226366E-2</v>
      </c>
      <c r="P672" s="977">
        <f>L518*$I$247</f>
        <v>4.2801508900821281E-2</v>
      </c>
      <c r="Q672" s="14"/>
    </row>
    <row r="673" spans="1:25">
      <c r="A673" s="1370"/>
      <c r="B673" s="1373"/>
      <c r="C673" s="991"/>
      <c r="D673" s="973" t="s">
        <v>828</v>
      </c>
      <c r="E673" s="218">
        <v>0</v>
      </c>
      <c r="F673" s="977">
        <v>0</v>
      </c>
      <c r="G673" s="138">
        <v>0</v>
      </c>
      <c r="H673" s="977">
        <v>0</v>
      </c>
      <c r="I673" s="977">
        <v>0</v>
      </c>
      <c r="J673" s="138">
        <v>0</v>
      </c>
      <c r="K673" s="977">
        <v>0</v>
      </c>
      <c r="L673" s="138">
        <v>0</v>
      </c>
      <c r="M673" s="977">
        <v>0</v>
      </c>
      <c r="N673" s="138">
        <v>0</v>
      </c>
      <c r="O673" s="977">
        <v>0</v>
      </c>
      <c r="P673" s="800">
        <v>0</v>
      </c>
      <c r="Q673" s="14"/>
    </row>
    <row r="674" spans="1:25">
      <c r="A674" s="1370"/>
      <c r="B674" s="1373"/>
      <c r="C674" s="991"/>
      <c r="D674" s="973" t="s">
        <v>620</v>
      </c>
      <c r="E674" s="218">
        <v>0</v>
      </c>
      <c r="F674" s="977">
        <v>0</v>
      </c>
      <c r="G674" s="138">
        <v>0</v>
      </c>
      <c r="H674" s="977">
        <v>0</v>
      </c>
      <c r="I674" s="977">
        <v>0</v>
      </c>
      <c r="J674" s="138">
        <v>0</v>
      </c>
      <c r="K674" s="977">
        <v>0</v>
      </c>
      <c r="L674" s="138">
        <v>0</v>
      </c>
      <c r="M674" s="977">
        <v>0</v>
      </c>
      <c r="N674" s="138">
        <v>0</v>
      </c>
      <c r="O674" s="977">
        <v>0</v>
      </c>
      <c r="P674" s="800">
        <v>0</v>
      </c>
      <c r="Q674" s="560"/>
      <c r="R674" s="41"/>
      <c r="S674" s="41"/>
      <c r="T674" s="41"/>
      <c r="U674" s="41"/>
      <c r="V674" s="41"/>
      <c r="W674" s="41"/>
      <c r="X674" s="41"/>
      <c r="Y674" s="41"/>
    </row>
    <row r="675" spans="1:25">
      <c r="A675" s="1371"/>
      <c r="B675" s="1374"/>
      <c r="C675" s="871"/>
      <c r="D675" s="852" t="s">
        <v>631</v>
      </c>
      <c r="E675" s="1216">
        <f>E603*'1.Dati'!$K$122</f>
        <v>8.4098291666666665</v>
      </c>
      <c r="F675" s="1216">
        <f>F603*'1.Dati'!$K$122</f>
        <v>10.662461979166666</v>
      </c>
      <c r="G675" s="1216">
        <f>G603*'1.Dati'!$K$122</f>
        <v>15.017552083333332</v>
      </c>
      <c r="H675" s="1216">
        <f>H603*'1.Dati'!$K$122</f>
        <v>18.471589062500001</v>
      </c>
      <c r="I675" s="1216">
        <f>I603*'1.Dati'!$K$122</f>
        <v>21.625274999999998</v>
      </c>
      <c r="J675" s="1216">
        <f>J603*'1.Dati'!$K$122</f>
        <v>23.577556770833329</v>
      </c>
      <c r="K675" s="1216">
        <f>K603*'1.Dati'!$K$122</f>
        <v>26.130540624999998</v>
      </c>
      <c r="L675" s="1216">
        <f>L603*'1.Dati'!$K$122</f>
        <v>23.727732291666662</v>
      </c>
      <c r="M675" s="1216">
        <f>M603*'1.Dati'!$K$122</f>
        <v>18.321413541666665</v>
      </c>
      <c r="N675" s="1216">
        <f>N603*'1.Dati'!$K$122</f>
        <v>13.365621354166667</v>
      </c>
      <c r="O675" s="1216">
        <f>O603*'1.Dati'!$K$122</f>
        <v>9.3108822916666636</v>
      </c>
      <c r="P675" s="1216">
        <f>P603*'1.Dati'!$K$122</f>
        <v>7.3586005208333338</v>
      </c>
      <c r="Q675" s="560"/>
      <c r="R675" s="41"/>
      <c r="S675" s="41"/>
      <c r="T675" s="41"/>
      <c r="U675" s="41"/>
      <c r="V675" s="41"/>
      <c r="W675" s="41"/>
      <c r="X675" s="41"/>
      <c r="Y675" s="41"/>
    </row>
    <row r="676" spans="1:25">
      <c r="A676" s="1369" t="s">
        <v>845</v>
      </c>
      <c r="B676" s="1481" t="s">
        <v>809</v>
      </c>
      <c r="C676" s="979" t="s">
        <v>9</v>
      </c>
      <c r="D676" s="972" t="s">
        <v>593</v>
      </c>
      <c r="E676" s="976">
        <f>$L$507*$I$249</f>
        <v>5.0287487093087745E-2</v>
      </c>
      <c r="F676" s="976">
        <f>L508*$I$249</f>
        <v>6.3757349707307689E-2</v>
      </c>
      <c r="G676" s="976">
        <f>L509*$I$249</f>
        <v>8.9799084094799558E-2</v>
      </c>
      <c r="H676" s="976">
        <f>L510*$I$249</f>
        <v>0.11045287343660347</v>
      </c>
      <c r="I676" s="976">
        <f>L511*$I$249</f>
        <v>0.12931068109651137</v>
      </c>
      <c r="J676" s="976">
        <f>L512*$I$249</f>
        <v>0.1409845620288353</v>
      </c>
      <c r="K676" s="976">
        <f>L513*$I$249</f>
        <v>0.15625040632495121</v>
      </c>
      <c r="L676" s="976">
        <f>L514*$I$249</f>
        <v>0.1418825528697833</v>
      </c>
      <c r="M676" s="976">
        <f>L515*$I$249</f>
        <v>0.10955488259565546</v>
      </c>
      <c r="N676" s="976">
        <f>L516*$I$249</f>
        <v>7.9921184844371607E-2</v>
      </c>
      <c r="O676" s="976">
        <f>L517*$I$249</f>
        <v>5.5675432138775724E-2</v>
      </c>
      <c r="P676" s="976">
        <f>L518*$I$249</f>
        <v>4.4001551206451786E-2</v>
      </c>
      <c r="Q676" s="560"/>
      <c r="R676" s="41"/>
      <c r="S676" s="41"/>
      <c r="T676" s="41"/>
      <c r="U676" s="41"/>
      <c r="V676" s="41"/>
      <c r="W676" s="41"/>
      <c r="X676" s="41"/>
      <c r="Y676" s="41"/>
    </row>
    <row r="677" spans="1:25">
      <c r="A677" s="1370"/>
      <c r="B677" s="1482"/>
      <c r="C677" s="980"/>
      <c r="D677" s="974" t="s">
        <v>813</v>
      </c>
      <c r="E677" s="977">
        <f>$O$507*$I$250</f>
        <v>1.5796475247585196E-2</v>
      </c>
      <c r="F677" s="977">
        <f>O508*$I$250</f>
        <v>2.2817130913178614E-2</v>
      </c>
      <c r="G677" s="977">
        <f>O509*$I$250</f>
        <v>3.6858442244365457E-2</v>
      </c>
      <c r="H677" s="977">
        <f>O510*$I$250</f>
        <v>5.2654917491950649E-2</v>
      </c>
      <c r="I677" s="977">
        <f>O511*$I$250</f>
        <v>6.8451392739535835E-2</v>
      </c>
      <c r="J677" s="977">
        <f>O512*$I$250</f>
        <v>7.8397321599126532E-2</v>
      </c>
      <c r="K677" s="977">
        <f>O513*$I$250</f>
        <v>8.3077758709522137E-2</v>
      </c>
      <c r="L677" s="977">
        <f>O514*$I$250</f>
        <v>6.7866338100736404E-2</v>
      </c>
      <c r="M677" s="977">
        <f>O515*$I$250</f>
        <v>4.5634261826357228E-2</v>
      </c>
      <c r="N677" s="977">
        <f>O516*$I$250</f>
        <v>2.8667677301173134E-2</v>
      </c>
      <c r="O677" s="977">
        <f>O517*$I$250</f>
        <v>1.755163916398355E-2</v>
      </c>
      <c r="P677" s="977">
        <f>O518*$I$250</f>
        <v>1.4041311331186839E-2</v>
      </c>
      <c r="Q677" s="560"/>
      <c r="R677" s="41"/>
      <c r="S677" s="41"/>
      <c r="T677" s="41"/>
      <c r="U677" s="41"/>
      <c r="V677" s="41"/>
      <c r="W677" s="41"/>
      <c r="X677" s="41"/>
      <c r="Y677" s="41"/>
    </row>
    <row r="678" spans="1:25">
      <c r="A678" s="1370"/>
      <c r="B678" s="1482"/>
      <c r="C678" s="980"/>
      <c r="D678" s="974" t="s">
        <v>816</v>
      </c>
      <c r="E678" s="977">
        <f>$M$507*$I$169</f>
        <v>0</v>
      </c>
      <c r="F678" s="977">
        <f>$L$508*$I$169</f>
        <v>0</v>
      </c>
      <c r="G678" s="977">
        <f>$L$509*$I$169</f>
        <v>0</v>
      </c>
      <c r="H678" s="977">
        <f>$L$510*$I$169</f>
        <v>0</v>
      </c>
      <c r="I678" s="977">
        <f>$L$511*$I$169</f>
        <v>0</v>
      </c>
      <c r="J678" s="977">
        <f>$M$512*$I$169</f>
        <v>0</v>
      </c>
      <c r="K678" s="977">
        <f>$L$513*$I$169</f>
        <v>0</v>
      </c>
      <c r="L678" s="977">
        <f>$L$514*$I$169</f>
        <v>0</v>
      </c>
      <c r="M678" s="977">
        <f>$L$515*$I$169</f>
        <v>0</v>
      </c>
      <c r="N678" s="977">
        <f>$L$516*$I$169</f>
        <v>0</v>
      </c>
      <c r="O678" s="977">
        <f>$L$517*$I$169</f>
        <v>0</v>
      </c>
      <c r="P678" s="977">
        <f>$L$518*$I$169</f>
        <v>0</v>
      </c>
      <c r="Q678" s="14"/>
      <c r="R678" s="41"/>
      <c r="S678" s="41"/>
      <c r="T678" s="41"/>
      <c r="U678" s="41"/>
      <c r="V678" s="41"/>
      <c r="W678" s="41"/>
      <c r="X678" s="41"/>
      <c r="Y678" s="41"/>
    </row>
    <row r="679" spans="1:25">
      <c r="A679" s="1370"/>
      <c r="B679" s="1482"/>
      <c r="C679" s="981"/>
      <c r="D679" s="939" t="s">
        <v>618</v>
      </c>
      <c r="E679" s="978">
        <f>E535</f>
        <v>1.3566796875000002</v>
      </c>
      <c r="F679" s="1216">
        <f t="shared" ref="F679:P679" si="76">F535</f>
        <v>1.9596484375000001</v>
      </c>
      <c r="G679" s="1216">
        <f t="shared" si="76"/>
        <v>3.1655859375000004</v>
      </c>
      <c r="H679" s="1216">
        <f t="shared" si="76"/>
        <v>4.5222656250000002</v>
      </c>
      <c r="I679" s="1216">
        <f t="shared" si="76"/>
        <v>5.8789453125</v>
      </c>
      <c r="J679" s="1216">
        <f t="shared" si="76"/>
        <v>6.7331510416666678</v>
      </c>
      <c r="K679" s="1216">
        <f t="shared" si="76"/>
        <v>7.1351302083333339</v>
      </c>
      <c r="L679" s="1216">
        <f t="shared" si="76"/>
        <v>5.828697916666667</v>
      </c>
      <c r="M679" s="1216">
        <f t="shared" si="76"/>
        <v>3.9192968750000001</v>
      </c>
      <c r="N679" s="1216">
        <f t="shared" si="76"/>
        <v>2.4621223958333336</v>
      </c>
      <c r="O679" s="1216">
        <f t="shared" si="76"/>
        <v>1.5074218749999997</v>
      </c>
      <c r="P679" s="1216">
        <f t="shared" si="76"/>
        <v>1.2059375000000001</v>
      </c>
      <c r="Q679" s="14"/>
      <c r="R679" s="41"/>
      <c r="S679" s="41"/>
      <c r="T679" s="41"/>
      <c r="U679" s="41"/>
      <c r="V679" s="41"/>
      <c r="W679" s="41"/>
      <c r="X679" s="41"/>
      <c r="Y679" s="41"/>
    </row>
    <row r="680" spans="1:25">
      <c r="A680" s="1370"/>
      <c r="B680" s="1482"/>
      <c r="C680" s="866" t="s">
        <v>804</v>
      </c>
      <c r="D680" s="973" t="s">
        <v>814</v>
      </c>
      <c r="E680" s="977">
        <f>$O$507*$I$252</f>
        <v>3.7323764771038506E-2</v>
      </c>
      <c r="F680" s="977">
        <f>O508*$I$252</f>
        <v>5.3912104669277844E-2</v>
      </c>
      <c r="G680" s="977">
        <f>O509*$I$252</f>
        <v>8.7088784465756519E-2</v>
      </c>
      <c r="H680" s="977">
        <f>O510*$I$252</f>
        <v>0.12441254923679504</v>
      </c>
      <c r="I680" s="977">
        <f>O511*$I$252</f>
        <v>0.16173631400783353</v>
      </c>
      <c r="J680" s="977">
        <f>O512*$I$252</f>
        <v>0.18523646219700593</v>
      </c>
      <c r="K680" s="977">
        <f>O513*$I$252</f>
        <v>0.19629535546249882</v>
      </c>
      <c r="L680" s="977">
        <f>O514*$I$252</f>
        <v>0.16035395234964694</v>
      </c>
      <c r="M680" s="977">
        <f>O515*$I$252</f>
        <v>0.10782420933855569</v>
      </c>
      <c r="N680" s="977">
        <f>O516*$I$252</f>
        <v>6.7735721251143965E-2</v>
      </c>
      <c r="O680" s="977">
        <f>O517*$I$252</f>
        <v>4.1470849745598337E-2</v>
      </c>
      <c r="P680" s="977">
        <f>O518*$I$252</f>
        <v>3.3176679796478675E-2</v>
      </c>
      <c r="Q680" s="218"/>
      <c r="R680" s="41"/>
      <c r="S680" s="41"/>
      <c r="T680" s="41"/>
      <c r="U680" s="41"/>
      <c r="V680" s="41"/>
      <c r="W680" s="41"/>
      <c r="X680" s="41"/>
      <c r="Y680" s="41"/>
    </row>
    <row r="681" spans="1:25">
      <c r="A681" s="1370"/>
      <c r="B681" s="1482"/>
      <c r="C681" s="866"/>
      <c r="D681" s="973" t="s">
        <v>590</v>
      </c>
      <c r="E681" s="977">
        <f>$M$507*$I$253</f>
        <v>2.4784547210164678E-2</v>
      </c>
      <c r="F681" s="977">
        <f>M508*$I$253</f>
        <v>3.3405259283265432E-2</v>
      </c>
      <c r="G681" s="977">
        <f>M509*$I$253</f>
        <v>4.5258738383778981E-2</v>
      </c>
      <c r="H681" s="977">
        <f>M510*$I$253</f>
        <v>6.1422573520842898E-2</v>
      </c>
      <c r="I681" s="977">
        <f>M511*$I$253</f>
        <v>8.7284709740145169E-2</v>
      </c>
      <c r="J681" s="977">
        <f>M512*$I$253</f>
        <v>0.10560372289548429</v>
      </c>
      <c r="K681" s="977">
        <f>M513*$I$253</f>
        <v>0.1023709558680715</v>
      </c>
      <c r="L681" s="977">
        <f>M514*$I$253</f>
        <v>7.3276052621356433E-2</v>
      </c>
      <c r="M681" s="977">
        <f>M515*$I$253</f>
        <v>4.9569094420329356E-2</v>
      </c>
      <c r="N681" s="977">
        <f>M516*$I$253</f>
        <v>3.7715615319815814E-2</v>
      </c>
      <c r="O681" s="977">
        <f>M517*$I$253</f>
        <v>2.6939725228439869E-2</v>
      </c>
      <c r="P681" s="977">
        <f>M518*$I$253</f>
        <v>2.262936919188949E-2</v>
      </c>
      <c r="Q681" s="560"/>
      <c r="R681" s="145"/>
      <c r="S681" s="145"/>
      <c r="T681" s="145"/>
      <c r="U681" s="145"/>
      <c r="V681" s="41"/>
      <c r="W681" s="41"/>
      <c r="X681" s="41"/>
      <c r="Y681" s="41"/>
    </row>
    <row r="682" spans="1:25">
      <c r="A682" s="1370"/>
      <c r="B682" s="1482"/>
      <c r="C682" s="866"/>
      <c r="D682" s="973" t="s">
        <v>815</v>
      </c>
      <c r="E682" s="977">
        <f>$M$507*$I$169</f>
        <v>0</v>
      </c>
      <c r="F682" s="977">
        <f>$L$508*$I$169</f>
        <v>0</v>
      </c>
      <c r="G682" s="977">
        <f>$L$509*$I$169</f>
        <v>0</v>
      </c>
      <c r="H682" s="977">
        <f>$L$510*$I$169</f>
        <v>0</v>
      </c>
      <c r="I682" s="977">
        <f>$L$511*$I$169</f>
        <v>0</v>
      </c>
      <c r="J682" s="977">
        <f>$M$512*$I$169</f>
        <v>0</v>
      </c>
      <c r="K682" s="977">
        <f>$L$513*$I$169</f>
        <v>0</v>
      </c>
      <c r="L682" s="977">
        <f>$L$514*$I$169</f>
        <v>0</v>
      </c>
      <c r="M682" s="977">
        <f>$L$515*$I$169</f>
        <v>0</v>
      </c>
      <c r="N682" s="977">
        <f>$L$516*$I$169</f>
        <v>0</v>
      </c>
      <c r="O682" s="977">
        <f>$L$517*$I$169</f>
        <v>0</v>
      </c>
      <c r="P682" s="977">
        <f>$L$518*$I$169</f>
        <v>0</v>
      </c>
      <c r="Q682" s="560"/>
      <c r="R682" s="145"/>
      <c r="S682" s="145"/>
      <c r="T682" s="145"/>
      <c r="U682" s="145"/>
      <c r="V682" s="41"/>
      <c r="W682" s="41"/>
      <c r="X682" s="41"/>
      <c r="Y682" s="41"/>
    </row>
    <row r="683" spans="1:25">
      <c r="A683" s="1370"/>
      <c r="B683" s="1482"/>
      <c r="C683" s="980"/>
      <c r="D683" s="973" t="s">
        <v>818</v>
      </c>
      <c r="E683" s="977">
        <f>$M$507*$I$169</f>
        <v>0</v>
      </c>
      <c r="F683" s="977">
        <f>$L$508*$I$169</f>
        <v>0</v>
      </c>
      <c r="G683" s="977">
        <f>$L$509*$I$169</f>
        <v>0</v>
      </c>
      <c r="H683" s="977">
        <f>$L$510*$I$169</f>
        <v>0</v>
      </c>
      <c r="I683" s="977">
        <f>$L$511*$I$169</f>
        <v>0</v>
      </c>
      <c r="J683" s="977">
        <f>$M$512*$I$169</f>
        <v>0</v>
      </c>
      <c r="K683" s="977">
        <f>$L$513*$I$169</f>
        <v>0</v>
      </c>
      <c r="L683" s="977">
        <f>$L$514*$I$169</f>
        <v>0</v>
      </c>
      <c r="M683" s="977">
        <f>$L$515*$I$169</f>
        <v>0</v>
      </c>
      <c r="N683" s="977">
        <f>$L$516*$I$169</f>
        <v>0</v>
      </c>
      <c r="O683" s="977">
        <f>$L$517*$I$169</f>
        <v>0</v>
      </c>
      <c r="P683" s="977">
        <f>$L$518*$I$169</f>
        <v>0</v>
      </c>
      <c r="Q683" s="560"/>
      <c r="R683" s="145"/>
      <c r="S683" s="145"/>
      <c r="T683" s="145"/>
      <c r="U683" s="145"/>
      <c r="V683" s="41"/>
      <c r="W683" s="41"/>
      <c r="X683" s="41"/>
      <c r="Y683" s="41"/>
    </row>
    <row r="684" spans="1:25">
      <c r="A684" s="1370"/>
      <c r="B684" s="1482"/>
      <c r="C684" s="980"/>
      <c r="D684" s="973" t="s">
        <v>819</v>
      </c>
      <c r="E684" s="218">
        <v>0</v>
      </c>
      <c r="F684" s="218">
        <v>0</v>
      </c>
      <c r="G684" s="218">
        <v>0</v>
      </c>
      <c r="H684" s="218">
        <v>0</v>
      </c>
      <c r="I684" s="218">
        <v>0</v>
      </c>
      <c r="J684" s="218">
        <v>0</v>
      </c>
      <c r="K684" s="218">
        <v>0</v>
      </c>
      <c r="L684" s="218">
        <v>0</v>
      </c>
      <c r="M684" s="218">
        <v>0</v>
      </c>
      <c r="N684" s="218">
        <v>0</v>
      </c>
      <c r="O684" s="218">
        <v>0</v>
      </c>
      <c r="P684" s="977">
        <v>0</v>
      </c>
      <c r="Q684" s="560"/>
      <c r="R684" s="145"/>
      <c r="S684" s="145"/>
      <c r="T684" s="145"/>
      <c r="U684" s="145"/>
      <c r="V684" s="41"/>
      <c r="W684" s="41"/>
      <c r="X684" s="41"/>
      <c r="Y684" s="41"/>
    </row>
    <row r="685" spans="1:25">
      <c r="A685" s="1370"/>
      <c r="B685" s="1482"/>
      <c r="C685" s="980"/>
      <c r="D685" s="847" t="s">
        <v>619</v>
      </c>
      <c r="E685" s="1216">
        <f>E541</f>
        <v>4.448953125000001</v>
      </c>
      <c r="F685" s="1216">
        <f t="shared" ref="F685:P686" si="77">F541</f>
        <v>6.426265625000001</v>
      </c>
      <c r="G685" s="1216">
        <f t="shared" si="77"/>
        <v>10.380890625000001</v>
      </c>
      <c r="H685" s="1216">
        <f t="shared" si="77"/>
        <v>14.829843750000002</v>
      </c>
      <c r="I685" s="1216">
        <f t="shared" si="77"/>
        <v>19.278796875000001</v>
      </c>
      <c r="J685" s="1216">
        <f t="shared" si="77"/>
        <v>22.079989583333337</v>
      </c>
      <c r="K685" s="1216">
        <f t="shared" si="77"/>
        <v>23.398197916666668</v>
      </c>
      <c r="L685" s="1216">
        <f t="shared" si="77"/>
        <v>19.114020833333338</v>
      </c>
      <c r="M685" s="1216">
        <f t="shared" si="77"/>
        <v>12.852531250000002</v>
      </c>
      <c r="N685" s="1216">
        <f t="shared" si="77"/>
        <v>8.0740260416666683</v>
      </c>
      <c r="O685" s="1216">
        <f t="shared" si="77"/>
        <v>4.9432812499999992</v>
      </c>
      <c r="P685" s="1216">
        <f t="shared" si="77"/>
        <v>3.9546250000000005</v>
      </c>
      <c r="Q685" s="560"/>
      <c r="R685" s="145"/>
      <c r="S685" s="145"/>
      <c r="T685" s="14"/>
      <c r="U685" s="41"/>
      <c r="V685" s="41"/>
      <c r="W685" s="41"/>
      <c r="X685" s="41"/>
      <c r="Y685" s="41"/>
    </row>
    <row r="686" spans="1:25">
      <c r="A686" s="1370"/>
      <c r="B686" s="1482"/>
      <c r="C686" s="981"/>
      <c r="D686" s="852" t="s">
        <v>631</v>
      </c>
      <c r="E686" s="1216">
        <f>E542</f>
        <v>0.69080739583333328</v>
      </c>
      <c r="F686" s="1216">
        <f t="shared" si="77"/>
        <v>0.93108822916666656</v>
      </c>
      <c r="G686" s="1216">
        <f t="shared" si="77"/>
        <v>1.2614743750000001</v>
      </c>
      <c r="H686" s="1216">
        <f t="shared" si="77"/>
        <v>1.7120009374999998</v>
      </c>
      <c r="I686" s="1216">
        <f t="shared" si="77"/>
        <v>2.4328434374999999</v>
      </c>
      <c r="J686" s="1216">
        <f t="shared" si="77"/>
        <v>2.9434402083333335</v>
      </c>
      <c r="K686" s="1216">
        <f t="shared" si="77"/>
        <v>2.8533348958333331</v>
      </c>
      <c r="L686" s="1216">
        <f t="shared" si="77"/>
        <v>2.0423870833333329</v>
      </c>
      <c r="M686" s="1216">
        <f t="shared" si="77"/>
        <v>1.3816147916666666</v>
      </c>
      <c r="N686" s="1216">
        <f t="shared" si="77"/>
        <v>1.0512286458333333</v>
      </c>
      <c r="O686" s="1216">
        <f t="shared" si="77"/>
        <v>0.7508776041666666</v>
      </c>
      <c r="P686" s="1216">
        <f t="shared" si="77"/>
        <v>0.63073718750000007</v>
      </c>
      <c r="Q686" s="560"/>
      <c r="R686" s="145"/>
      <c r="S686" s="145"/>
      <c r="T686" s="1022"/>
      <c r="U686" s="41"/>
      <c r="V686" s="41"/>
      <c r="W686" s="41"/>
      <c r="X686" s="41"/>
      <c r="Y686" s="41"/>
    </row>
    <row r="687" spans="1:25" ht="15" customHeight="1">
      <c r="A687" s="1370"/>
      <c r="B687" s="1482"/>
      <c r="C687" s="980" t="s">
        <v>22</v>
      </c>
      <c r="D687" s="973" t="s">
        <v>821</v>
      </c>
      <c r="E687" s="977">
        <f>$M$507*$I$169</f>
        <v>0</v>
      </c>
      <c r="F687" s="977">
        <f>$L$508*$I$169</f>
        <v>0</v>
      </c>
      <c r="G687" s="977">
        <f>$L$509*$I$169</f>
        <v>0</v>
      </c>
      <c r="H687" s="977">
        <f>$L$510*$I$169</f>
        <v>0</v>
      </c>
      <c r="I687" s="977">
        <f>$L$511*$I$169</f>
        <v>0</v>
      </c>
      <c r="J687" s="977">
        <f>$M$512*$I$169</f>
        <v>0</v>
      </c>
      <c r="K687" s="977">
        <f>$L$513*$I$169</f>
        <v>0</v>
      </c>
      <c r="L687" s="977">
        <f>$L$514*$I$169</f>
        <v>0</v>
      </c>
      <c r="M687" s="977">
        <f>$L$515*$I$169</f>
        <v>0</v>
      </c>
      <c r="N687" s="977">
        <f>$L$516*$I$169</f>
        <v>0</v>
      </c>
      <c r="O687" s="977">
        <f>$L$517*$I$169</f>
        <v>0</v>
      </c>
      <c r="P687" s="977">
        <f>$L$518*$I$169</f>
        <v>0</v>
      </c>
      <c r="Q687" s="560"/>
      <c r="R687" s="145"/>
      <c r="S687" s="145"/>
      <c r="T687" s="14"/>
      <c r="U687" s="41"/>
      <c r="V687" s="41"/>
      <c r="W687" s="41"/>
      <c r="X687" s="41"/>
      <c r="Y687" s="41"/>
    </row>
    <row r="688" spans="1:25">
      <c r="A688" s="1370"/>
      <c r="B688" s="1482"/>
      <c r="C688" s="981"/>
      <c r="D688" s="975" t="s">
        <v>822</v>
      </c>
      <c r="E688" s="978">
        <f>$M$507*$I$169</f>
        <v>0</v>
      </c>
      <c r="F688" s="978">
        <f>$L$508*$I$169</f>
        <v>0</v>
      </c>
      <c r="G688" s="978">
        <f>$L$509*$I$169</f>
        <v>0</v>
      </c>
      <c r="H688" s="978">
        <f>$L$510*$I$169</f>
        <v>0</v>
      </c>
      <c r="I688" s="978">
        <f>$L$511*$I$169</f>
        <v>0</v>
      </c>
      <c r="J688" s="978">
        <f>$M$512*$I$169</f>
        <v>0</v>
      </c>
      <c r="K688" s="978">
        <f>$L$513*$I$169</f>
        <v>0</v>
      </c>
      <c r="L688" s="978">
        <f>$L$514*$I$169</f>
        <v>0</v>
      </c>
      <c r="M688" s="978">
        <f>$L$515*$I$169</f>
        <v>0</v>
      </c>
      <c r="N688" s="978">
        <f>$L$516*$I$169</f>
        <v>0</v>
      </c>
      <c r="O688" s="978">
        <f>$L$517*$I$169</f>
        <v>0</v>
      </c>
      <c r="P688" s="978">
        <f>$L$518*$I$169</f>
        <v>0</v>
      </c>
      <c r="Q688" s="560"/>
      <c r="R688" s="41"/>
      <c r="S688" s="41"/>
      <c r="T688" s="145"/>
      <c r="U688" s="145"/>
      <c r="V688" s="145"/>
      <c r="W688" s="145"/>
      <c r="X688" s="145"/>
      <c r="Y688" s="41"/>
    </row>
    <row r="689" spans="1:25">
      <c r="A689" s="1370"/>
      <c r="B689" s="1482"/>
      <c r="C689" s="979" t="s">
        <v>803</v>
      </c>
      <c r="D689" s="971" t="s">
        <v>827</v>
      </c>
      <c r="E689" s="218">
        <v>0</v>
      </c>
      <c r="F689" s="218">
        <v>0</v>
      </c>
      <c r="G689" s="218">
        <v>0</v>
      </c>
      <c r="H689" s="218">
        <v>0</v>
      </c>
      <c r="I689" s="218">
        <v>0</v>
      </c>
      <c r="J689" s="218">
        <v>0</v>
      </c>
      <c r="K689" s="218">
        <v>0</v>
      </c>
      <c r="L689" s="218">
        <v>0</v>
      </c>
      <c r="M689" s="218">
        <v>0</v>
      </c>
      <c r="N689" s="218">
        <v>0</v>
      </c>
      <c r="O689" s="218">
        <v>0</v>
      </c>
      <c r="P689" s="977">
        <v>0</v>
      </c>
      <c r="Q689" s="560"/>
      <c r="R689" s="41"/>
      <c r="S689" s="41"/>
      <c r="T689" s="41"/>
      <c r="U689" s="41"/>
      <c r="V689" s="41"/>
      <c r="W689" s="41"/>
      <c r="X689" s="41"/>
      <c r="Y689" s="41"/>
    </row>
    <row r="690" spans="1:25">
      <c r="A690" s="1370"/>
      <c r="B690" s="1482"/>
      <c r="C690" s="980"/>
      <c r="D690" s="973" t="s">
        <v>823</v>
      </c>
      <c r="E690" s="218">
        <v>0</v>
      </c>
      <c r="F690" s="218">
        <v>0</v>
      </c>
      <c r="G690" s="218">
        <v>0</v>
      </c>
      <c r="H690" s="218">
        <v>0</v>
      </c>
      <c r="I690" s="218">
        <v>0</v>
      </c>
      <c r="J690" s="218">
        <v>0</v>
      </c>
      <c r="K690" s="218">
        <v>0</v>
      </c>
      <c r="L690" s="218">
        <v>0</v>
      </c>
      <c r="M690" s="218">
        <v>0</v>
      </c>
      <c r="N690" s="218">
        <v>0</v>
      </c>
      <c r="O690" s="218">
        <v>0</v>
      </c>
      <c r="P690" s="977">
        <v>0</v>
      </c>
      <c r="Q690" s="560"/>
      <c r="R690" s="41"/>
      <c r="S690" s="41"/>
      <c r="T690" s="41"/>
      <c r="U690" s="41"/>
      <c r="V690" s="41"/>
      <c r="W690" s="41"/>
      <c r="X690" s="41"/>
      <c r="Y690" s="41"/>
    </row>
    <row r="691" spans="1:25">
      <c r="A691" s="1370"/>
      <c r="B691" s="1482"/>
      <c r="C691" s="981"/>
      <c r="D691" s="975" t="s">
        <v>824</v>
      </c>
      <c r="E691" s="210">
        <v>0</v>
      </c>
      <c r="F691" s="210">
        <v>0</v>
      </c>
      <c r="G691" s="210">
        <v>0</v>
      </c>
      <c r="H691" s="210">
        <v>0</v>
      </c>
      <c r="I691" s="210">
        <v>0</v>
      </c>
      <c r="J691" s="210">
        <v>0</v>
      </c>
      <c r="K691" s="210">
        <v>0</v>
      </c>
      <c r="L691" s="210">
        <v>0</v>
      </c>
      <c r="M691" s="210">
        <v>0</v>
      </c>
      <c r="N691" s="210">
        <v>0</v>
      </c>
      <c r="O691" s="210">
        <v>0</v>
      </c>
      <c r="P691" s="978">
        <v>0</v>
      </c>
      <c r="Q691" s="560"/>
    </row>
    <row r="692" spans="1:25" ht="15" customHeight="1">
      <c r="A692" s="1370"/>
      <c r="B692" s="1482"/>
      <c r="C692" s="979" t="s">
        <v>802</v>
      </c>
      <c r="D692" s="971" t="s">
        <v>591</v>
      </c>
      <c r="E692" s="977">
        <f>$M$507*$I$262</f>
        <v>2.1905534150398073E-2</v>
      </c>
      <c r="F692" s="977">
        <f>M508*$I$262</f>
        <v>2.9524850376623491E-2</v>
      </c>
      <c r="G692" s="977">
        <f>M509*$I$262</f>
        <v>4.0001410187683446E-2</v>
      </c>
      <c r="H692" s="977">
        <f>M510*$I$262</f>
        <v>5.4287628111856098E-2</v>
      </c>
      <c r="I692" s="977">
        <f>M511*$I$262</f>
        <v>7.7145576790532355E-2</v>
      </c>
      <c r="J692" s="977">
        <f>M512*$I$262</f>
        <v>9.3336623771261368E-2</v>
      </c>
      <c r="K692" s="977">
        <f>M513*$I$262</f>
        <v>9.047938018642683E-2</v>
      </c>
      <c r="L692" s="977">
        <f>M514*$I$262</f>
        <v>6.4764187922916036E-2</v>
      </c>
      <c r="M692" s="977">
        <f>M515*$I$262</f>
        <v>4.3811068300796147E-2</v>
      </c>
      <c r="N692" s="977">
        <f>M516*$I$262</f>
        <v>3.3334508489736202E-2</v>
      </c>
      <c r="O692" s="977">
        <f>M517*$I$262</f>
        <v>2.381036320695443E-2</v>
      </c>
      <c r="P692" s="977">
        <f>M518*$I$262</f>
        <v>2.0000705093841723E-2</v>
      </c>
      <c r="Q692" s="218"/>
    </row>
    <row r="693" spans="1:25">
      <c r="A693" s="1370"/>
      <c r="B693" s="1482"/>
      <c r="C693" s="980"/>
      <c r="D693" s="973" t="s">
        <v>825</v>
      </c>
      <c r="E693" s="218">
        <v>0</v>
      </c>
      <c r="F693" s="218">
        <v>0</v>
      </c>
      <c r="G693" s="218">
        <v>0</v>
      </c>
      <c r="H693" s="218">
        <v>0</v>
      </c>
      <c r="I693" s="218">
        <v>0</v>
      </c>
      <c r="J693" s="218">
        <v>0</v>
      </c>
      <c r="K693" s="218">
        <v>0</v>
      </c>
      <c r="L693" s="218">
        <v>0</v>
      </c>
      <c r="M693" s="218">
        <v>0</v>
      </c>
      <c r="N693" s="218">
        <v>0</v>
      </c>
      <c r="O693" s="218">
        <v>0</v>
      </c>
      <c r="P693" s="977">
        <v>0</v>
      </c>
      <c r="Q693" s="218"/>
    </row>
    <row r="694" spans="1:25">
      <c r="A694" s="1370"/>
      <c r="B694" s="1482"/>
      <c r="C694" s="980"/>
      <c r="D694" s="853" t="s">
        <v>858</v>
      </c>
      <c r="E694" s="1216">
        <f>E550</f>
        <v>0.69080739583333328</v>
      </c>
      <c r="F694" s="1216">
        <f t="shared" ref="F694:P695" si="78">F550</f>
        <v>0.93108822916666656</v>
      </c>
      <c r="G694" s="1216">
        <f t="shared" si="78"/>
        <v>1.2614743750000001</v>
      </c>
      <c r="H694" s="1216">
        <f t="shared" si="78"/>
        <v>1.7120009374999998</v>
      </c>
      <c r="I694" s="1216">
        <f t="shared" si="78"/>
        <v>2.4328434374999999</v>
      </c>
      <c r="J694" s="1216">
        <f t="shared" si="78"/>
        <v>2.9434402083333335</v>
      </c>
      <c r="K694" s="1216">
        <f t="shared" si="78"/>
        <v>2.8533348958333331</v>
      </c>
      <c r="L694" s="1216">
        <f t="shared" si="78"/>
        <v>2.0423870833333329</v>
      </c>
      <c r="M694" s="1216">
        <f t="shared" si="78"/>
        <v>1.3816147916666666</v>
      </c>
      <c r="N694" s="1216">
        <f t="shared" si="78"/>
        <v>1.0512286458333333</v>
      </c>
      <c r="O694" s="1216">
        <f t="shared" si="78"/>
        <v>0.7508776041666666</v>
      </c>
      <c r="P694" s="1216">
        <f t="shared" si="78"/>
        <v>0.63073718750000007</v>
      </c>
      <c r="Q694" s="218"/>
    </row>
    <row r="695" spans="1:25">
      <c r="A695" s="1370"/>
      <c r="B695" s="1482"/>
      <c r="C695" s="981"/>
      <c r="D695" s="852" t="s">
        <v>631</v>
      </c>
      <c r="E695" s="1216">
        <f>E551</f>
        <v>0.69080739583333328</v>
      </c>
      <c r="F695" s="1216">
        <f t="shared" si="78"/>
        <v>0.93108822916666656</v>
      </c>
      <c r="G695" s="1216">
        <f t="shared" si="78"/>
        <v>1.2614743750000001</v>
      </c>
      <c r="H695" s="1216">
        <f t="shared" si="78"/>
        <v>1.7120009374999998</v>
      </c>
      <c r="I695" s="1216">
        <f t="shared" si="78"/>
        <v>2.4328434374999999</v>
      </c>
      <c r="J695" s="1216">
        <f t="shared" si="78"/>
        <v>2.9434402083333335</v>
      </c>
      <c r="K695" s="1216">
        <f t="shared" si="78"/>
        <v>2.8533348958333331</v>
      </c>
      <c r="L695" s="1216">
        <f t="shared" si="78"/>
        <v>2.0423870833333329</v>
      </c>
      <c r="M695" s="1216">
        <f t="shared" si="78"/>
        <v>1.3816147916666666</v>
      </c>
      <c r="N695" s="1216">
        <f t="shared" si="78"/>
        <v>1.0512286458333333</v>
      </c>
      <c r="O695" s="1216">
        <f t="shared" si="78"/>
        <v>0.7508776041666666</v>
      </c>
      <c r="P695" s="1216">
        <f t="shared" si="78"/>
        <v>0.63073718750000007</v>
      </c>
      <c r="Q695" s="218"/>
    </row>
    <row r="696" spans="1:25">
      <c r="A696" s="1370"/>
      <c r="B696" s="1482"/>
      <c r="C696" s="980" t="s">
        <v>587</v>
      </c>
      <c r="D696" s="973" t="s">
        <v>592</v>
      </c>
      <c r="E696" s="977">
        <f>$M$507*$I$264</f>
        <v>1.2517448085941756E-2</v>
      </c>
      <c r="F696" s="977">
        <f>M508*$I$264</f>
        <v>1.6871343072356281E-2</v>
      </c>
      <c r="G696" s="977">
        <f>M509*$I$264</f>
        <v>2.2857948678676254E-2</v>
      </c>
      <c r="H696" s="977">
        <f>M510*$I$264</f>
        <v>3.1021501778203484E-2</v>
      </c>
      <c r="I696" s="977">
        <f>M511*$I$264</f>
        <v>4.4083186737447058E-2</v>
      </c>
      <c r="J696" s="977">
        <f>M512*$I$264</f>
        <v>5.3335213583577921E-2</v>
      </c>
      <c r="K696" s="977">
        <f>M513*$I$264</f>
        <v>5.1702502963672473E-2</v>
      </c>
      <c r="L696" s="977">
        <f>M514*$I$264</f>
        <v>3.7008107384523453E-2</v>
      </c>
      <c r="M696" s="977">
        <f>M515*$I$264</f>
        <v>2.5034896171883512E-2</v>
      </c>
      <c r="N696" s="977">
        <f>M516*$I$264</f>
        <v>1.9048290565563543E-2</v>
      </c>
      <c r="O696" s="977">
        <f>M517*$I$264</f>
        <v>1.3605921832545389E-2</v>
      </c>
      <c r="P696" s="977">
        <f>M518*$I$264</f>
        <v>1.1428974339338127E-2</v>
      </c>
      <c r="Q696" s="218"/>
    </row>
    <row r="697" spans="1:25">
      <c r="A697" s="1370"/>
      <c r="B697" s="1482"/>
      <c r="C697" s="980"/>
      <c r="D697" s="973" t="s">
        <v>834</v>
      </c>
      <c r="E697" s="218">
        <v>0</v>
      </c>
      <c r="F697" s="218">
        <v>0</v>
      </c>
      <c r="G697" s="218">
        <v>0</v>
      </c>
      <c r="H697" s="218">
        <v>0</v>
      </c>
      <c r="I697" s="218">
        <v>0</v>
      </c>
      <c r="J697" s="218">
        <v>0</v>
      </c>
      <c r="K697" s="218">
        <v>0</v>
      </c>
      <c r="L697" s="218">
        <v>0</v>
      </c>
      <c r="M697" s="218">
        <v>0</v>
      </c>
      <c r="N697" s="218">
        <v>0</v>
      </c>
      <c r="O697" s="218">
        <v>0</v>
      </c>
      <c r="P697" s="977">
        <v>0</v>
      </c>
      <c r="Q697" s="218"/>
    </row>
    <row r="698" spans="1:25">
      <c r="A698" s="1370"/>
      <c r="B698" s="1482"/>
      <c r="C698" s="981"/>
      <c r="D698" s="854" t="s">
        <v>859</v>
      </c>
      <c r="E698" s="1216">
        <f>E554</f>
        <v>0.69080739583333328</v>
      </c>
      <c r="F698" s="1216">
        <f t="shared" ref="F698:P698" si="79">F554</f>
        <v>0.93108822916666656</v>
      </c>
      <c r="G698" s="1216">
        <f t="shared" si="79"/>
        <v>1.2614743750000001</v>
      </c>
      <c r="H698" s="1216">
        <f t="shared" si="79"/>
        <v>1.7120009374999998</v>
      </c>
      <c r="I698" s="1216">
        <f t="shared" si="79"/>
        <v>2.4328434374999999</v>
      </c>
      <c r="J698" s="1216">
        <f t="shared" si="79"/>
        <v>2.9434402083333335</v>
      </c>
      <c r="K698" s="1216">
        <f t="shared" si="79"/>
        <v>2.8533348958333331</v>
      </c>
      <c r="L698" s="1216">
        <f t="shared" si="79"/>
        <v>2.0423870833333329</v>
      </c>
      <c r="M698" s="1216">
        <f t="shared" si="79"/>
        <v>1.3816147916666666</v>
      </c>
      <c r="N698" s="1216">
        <f t="shared" si="79"/>
        <v>1.0512286458333333</v>
      </c>
      <c r="O698" s="1216">
        <f t="shared" si="79"/>
        <v>0.7508776041666666</v>
      </c>
      <c r="P698" s="1216">
        <f t="shared" si="79"/>
        <v>0.63073718750000007</v>
      </c>
      <c r="Q698" s="218"/>
    </row>
    <row r="699" spans="1:25">
      <c r="A699" s="1370"/>
      <c r="B699" s="1482"/>
      <c r="C699" s="979" t="s">
        <v>20</v>
      </c>
      <c r="D699" s="971" t="s">
        <v>595</v>
      </c>
      <c r="E699" s="808">
        <f>$M$507*$I$266</f>
        <v>2.2218470352546617E-2</v>
      </c>
      <c r="F699" s="808">
        <f>M508*$I$266</f>
        <v>2.9946633953432396E-2</v>
      </c>
      <c r="G699" s="808">
        <f>M509*$I$266</f>
        <v>4.0572858904650351E-2</v>
      </c>
      <c r="H699" s="808">
        <f>M510*$I$266</f>
        <v>5.5063165656311183E-2</v>
      </c>
      <c r="I699" s="808">
        <f>M511*$I$266</f>
        <v>7.8247656458968529E-2</v>
      </c>
      <c r="J699" s="808">
        <f>M512*$I$266</f>
        <v>9.4670004110850817E-2</v>
      </c>
      <c r="K699" s="808">
        <f>M513*$I$266</f>
        <v>9.1771942760518643E-2</v>
      </c>
      <c r="L699" s="808">
        <f>M514*$I$266</f>
        <v>6.5689390607529125E-2</v>
      </c>
      <c r="M699" s="808">
        <f>M515*$I$266</f>
        <v>4.4436940705093235E-2</v>
      </c>
      <c r="N699" s="808">
        <f>M516*$I$266</f>
        <v>3.3810715753875287E-2</v>
      </c>
      <c r="O699" s="808">
        <f>M517*$I$266</f>
        <v>2.4150511252768063E-2</v>
      </c>
      <c r="P699" s="808">
        <f>M518*$I$266</f>
        <v>2.0286429452325175E-2</v>
      </c>
      <c r="Q699" s="218"/>
    </row>
    <row r="700" spans="1:25">
      <c r="A700" s="1370"/>
      <c r="B700" s="1482"/>
      <c r="C700" s="991"/>
      <c r="D700" s="973" t="s">
        <v>589</v>
      </c>
      <c r="E700" s="218">
        <f>$L$507*$I$267</f>
        <v>5.6078167425019074E-2</v>
      </c>
      <c r="F700" s="218">
        <f>L508*$I$267</f>
        <v>7.1099105128149181E-2</v>
      </c>
      <c r="G700" s="218">
        <f>L509*$I$267</f>
        <v>0.10013958468753406</v>
      </c>
      <c r="H700" s="218">
        <f>L510*$I$267</f>
        <v>0.12317168916566691</v>
      </c>
      <c r="I700" s="218">
        <f>L511*$I$267</f>
        <v>0.14420100195004906</v>
      </c>
      <c r="J700" s="218">
        <f>L512*$I$267</f>
        <v>0.15721914795942848</v>
      </c>
      <c r="K700" s="218">
        <f>L513*$I$267</f>
        <v>0.17424287735630928</v>
      </c>
      <c r="L700" s="218">
        <f>L514*$I$267</f>
        <v>0.15822054380630382</v>
      </c>
      <c r="M700" s="218">
        <f>L515*$I$267</f>
        <v>0.12217029331879156</v>
      </c>
      <c r="N700" s="218">
        <f>L516*$I$267</f>
        <v>8.9124230371905325E-2</v>
      </c>
      <c r="O700" s="218">
        <f>L517*$I$267</f>
        <v>6.2086542506271117E-2</v>
      </c>
      <c r="P700" s="218">
        <f>L518*$I$267</f>
        <v>4.9068396496891695E-2</v>
      </c>
      <c r="Q700" s="218"/>
    </row>
    <row r="701" spans="1:25">
      <c r="A701" s="1370"/>
      <c r="B701" s="1482"/>
      <c r="C701" s="991"/>
      <c r="D701" s="973" t="s">
        <v>621</v>
      </c>
      <c r="E701" s="218">
        <f>$L$507*$I$181</f>
        <v>0</v>
      </c>
      <c r="F701" s="977">
        <f>$L$508*$I$181</f>
        <v>0</v>
      </c>
      <c r="G701" s="138">
        <f>$L$509*$I$181</f>
        <v>0</v>
      </c>
      <c r="H701" s="977">
        <f>$L$510*$I$181</f>
        <v>0</v>
      </c>
      <c r="I701" s="138">
        <f>$L$511*$I$181</f>
        <v>0</v>
      </c>
      <c r="J701" s="977">
        <f>$L$512*$I$181</f>
        <v>0</v>
      </c>
      <c r="K701" s="138">
        <f>$L$513*$I$181</f>
        <v>0</v>
      </c>
      <c r="L701" s="977">
        <f>$L$514*$I$181</f>
        <v>0</v>
      </c>
      <c r="M701" s="138">
        <f>$L$515*$I$181</f>
        <v>0</v>
      </c>
      <c r="N701" s="977">
        <f>$L$516*$I$181</f>
        <v>0</v>
      </c>
      <c r="O701" s="138">
        <f>$L$517*$I$181</f>
        <v>0</v>
      </c>
      <c r="P701" s="977">
        <f>$L$518*$I$181</f>
        <v>0</v>
      </c>
      <c r="Q701" s="14"/>
    </row>
    <row r="702" spans="1:25">
      <c r="A702" s="1370"/>
      <c r="B702" s="1482"/>
      <c r="C702" s="991"/>
      <c r="D702" s="849" t="s">
        <v>631</v>
      </c>
      <c r="E702" s="1216">
        <f>E558</f>
        <v>0.69080739583333328</v>
      </c>
      <c r="F702" s="1216">
        <f t="shared" ref="F702:P704" si="80">F558</f>
        <v>0.93108822916666656</v>
      </c>
      <c r="G702" s="1216">
        <f t="shared" si="80"/>
        <v>1.2614743750000001</v>
      </c>
      <c r="H702" s="1216">
        <f t="shared" si="80"/>
        <v>1.7120009374999998</v>
      </c>
      <c r="I702" s="1216">
        <f t="shared" si="80"/>
        <v>2.4328434374999999</v>
      </c>
      <c r="J702" s="1216">
        <f t="shared" si="80"/>
        <v>2.9434402083333335</v>
      </c>
      <c r="K702" s="1216">
        <f t="shared" si="80"/>
        <v>2.8533348958333331</v>
      </c>
      <c r="L702" s="1216">
        <f t="shared" si="80"/>
        <v>2.0423870833333329</v>
      </c>
      <c r="M702" s="1216">
        <f t="shared" si="80"/>
        <v>1.3816147916666666</v>
      </c>
      <c r="N702" s="1216">
        <f t="shared" si="80"/>
        <v>1.0512286458333333</v>
      </c>
      <c r="O702" s="1216">
        <f t="shared" si="80"/>
        <v>0.7508776041666666</v>
      </c>
      <c r="P702" s="1216">
        <f t="shared" si="80"/>
        <v>0.63073718750000007</v>
      </c>
      <c r="Q702" s="14"/>
    </row>
    <row r="703" spans="1:25">
      <c r="A703" s="1370"/>
      <c r="B703" s="1482"/>
      <c r="C703" s="991"/>
      <c r="D703" s="851" t="s">
        <v>859</v>
      </c>
      <c r="E703" s="1216">
        <f>E559</f>
        <v>1.6819658333333332</v>
      </c>
      <c r="F703" s="1216">
        <f t="shared" si="80"/>
        <v>2.1324923958333333</v>
      </c>
      <c r="G703" s="1216">
        <f t="shared" si="80"/>
        <v>3.0035104166666664</v>
      </c>
      <c r="H703" s="1216">
        <f t="shared" si="80"/>
        <v>3.6943178125</v>
      </c>
      <c r="I703" s="1216">
        <f t="shared" si="80"/>
        <v>4.3250549999999999</v>
      </c>
      <c r="J703" s="1216">
        <f t="shared" si="80"/>
        <v>4.715511354166666</v>
      </c>
      <c r="K703" s="1216">
        <f t="shared" si="80"/>
        <v>5.2261081249999997</v>
      </c>
      <c r="L703" s="1216">
        <f t="shared" si="80"/>
        <v>4.7455464583333322</v>
      </c>
      <c r="M703" s="1216">
        <f t="shared" si="80"/>
        <v>3.6642827083333334</v>
      </c>
      <c r="N703" s="1216">
        <f t="shared" si="80"/>
        <v>2.6731242708333331</v>
      </c>
      <c r="O703" s="1216">
        <f t="shared" si="80"/>
        <v>1.8621764583333327</v>
      </c>
      <c r="P703" s="1216">
        <f t="shared" si="80"/>
        <v>1.4717201041666668</v>
      </c>
      <c r="Q703" s="14"/>
    </row>
    <row r="704" spans="1:25" ht="23.25" customHeight="1">
      <c r="A704" s="1370"/>
      <c r="B704" s="1482"/>
      <c r="C704" s="865"/>
      <c r="D704" s="940" t="s">
        <v>858</v>
      </c>
      <c r="E704" s="1216">
        <f>E560</f>
        <v>1.6819658333333332</v>
      </c>
      <c r="F704" s="1216">
        <f t="shared" si="80"/>
        <v>2.1324923958333333</v>
      </c>
      <c r="G704" s="1216">
        <f t="shared" si="80"/>
        <v>3.0035104166666664</v>
      </c>
      <c r="H704" s="1216">
        <f t="shared" si="80"/>
        <v>3.6943178125</v>
      </c>
      <c r="I704" s="1216">
        <f t="shared" si="80"/>
        <v>4.3250549999999999</v>
      </c>
      <c r="J704" s="1216">
        <f t="shared" si="80"/>
        <v>4.715511354166666</v>
      </c>
      <c r="K704" s="1216">
        <f t="shared" si="80"/>
        <v>5.2261081249999997</v>
      </c>
      <c r="L704" s="1216">
        <f t="shared" si="80"/>
        <v>4.7455464583333322</v>
      </c>
      <c r="M704" s="1216">
        <f t="shared" si="80"/>
        <v>3.6642827083333334</v>
      </c>
      <c r="N704" s="1216">
        <f t="shared" si="80"/>
        <v>2.6731242708333331</v>
      </c>
      <c r="O704" s="1216">
        <f t="shared" si="80"/>
        <v>1.8621764583333327</v>
      </c>
      <c r="P704" s="1216">
        <f t="shared" si="80"/>
        <v>1.4717201041666668</v>
      </c>
      <c r="Q704" s="14"/>
    </row>
    <row r="705" spans="1:17" ht="14.5" customHeight="1">
      <c r="A705" s="1370"/>
      <c r="B705" s="1482"/>
      <c r="C705" s="980" t="s">
        <v>586</v>
      </c>
      <c r="D705" s="973" t="s">
        <v>594</v>
      </c>
      <c r="E705" s="808">
        <f>$L$507*$I$269</f>
        <v>4.3582488814009383E-2</v>
      </c>
      <c r="F705" s="808">
        <f>L508*$I$269</f>
        <v>5.5256369746333328E-2</v>
      </c>
      <c r="G705" s="808">
        <f>L509*$I$269</f>
        <v>7.7825872882159614E-2</v>
      </c>
      <c r="H705" s="808">
        <f>L510*$I$269</f>
        <v>9.5725823645056343E-2</v>
      </c>
      <c r="I705" s="808">
        <f>L511*$I$269</f>
        <v>0.11206925695030985</v>
      </c>
      <c r="J705" s="808">
        <f>L512*$I$269</f>
        <v>0.12218662042499059</v>
      </c>
      <c r="K705" s="808">
        <f>L513*$I$269</f>
        <v>0.13541701881495774</v>
      </c>
      <c r="L705" s="808">
        <f>L514*$I$269</f>
        <v>0.12296487915381218</v>
      </c>
      <c r="M705" s="808">
        <f>L515*$I$269</f>
        <v>9.4947564916234739E-2</v>
      </c>
      <c r="N705" s="808">
        <f>L516*$I$269</f>
        <v>6.9265026865122065E-2</v>
      </c>
      <c r="O705" s="808">
        <f>L517*$I$269</f>
        <v>4.825204118693896E-2</v>
      </c>
      <c r="P705" s="808">
        <f>L518*$I$269</f>
        <v>3.8134677712258216E-2</v>
      </c>
      <c r="Q705" s="14"/>
    </row>
    <row r="706" spans="1:17">
      <c r="A706" s="1370"/>
      <c r="B706" s="1482"/>
      <c r="C706" s="991"/>
      <c r="D706" s="973" t="s">
        <v>826</v>
      </c>
      <c r="E706" s="218">
        <v>0</v>
      </c>
      <c r="F706" s="218">
        <v>0</v>
      </c>
      <c r="G706" s="218">
        <v>0</v>
      </c>
      <c r="H706" s="218">
        <v>0</v>
      </c>
      <c r="I706" s="218">
        <v>0</v>
      </c>
      <c r="J706" s="218">
        <v>0</v>
      </c>
      <c r="K706" s="218">
        <v>0</v>
      </c>
      <c r="L706" s="218">
        <v>0</v>
      </c>
      <c r="M706" s="218">
        <v>0</v>
      </c>
      <c r="N706" s="218">
        <v>0</v>
      </c>
      <c r="O706" s="218">
        <v>0</v>
      </c>
      <c r="P706" s="977">
        <v>0</v>
      </c>
      <c r="Q706" s="14"/>
    </row>
    <row r="707" spans="1:17">
      <c r="A707" s="1370"/>
      <c r="B707" s="1482"/>
      <c r="C707" s="865"/>
      <c r="D707" s="854" t="s">
        <v>859</v>
      </c>
      <c r="E707" s="1216">
        <f>E563</f>
        <v>1.6819658333333332</v>
      </c>
      <c r="F707" s="1216">
        <f t="shared" ref="F707:P707" si="81">F563</f>
        <v>2.1324923958333333</v>
      </c>
      <c r="G707" s="1216">
        <f t="shared" si="81"/>
        <v>3.0035104166666664</v>
      </c>
      <c r="H707" s="1216">
        <f t="shared" si="81"/>
        <v>3.6943178125</v>
      </c>
      <c r="I707" s="1216">
        <f t="shared" si="81"/>
        <v>4.3250549999999999</v>
      </c>
      <c r="J707" s="1216">
        <f t="shared" si="81"/>
        <v>4.715511354166666</v>
      </c>
      <c r="K707" s="1216">
        <f t="shared" si="81"/>
        <v>5.2261081249999997</v>
      </c>
      <c r="L707" s="1216">
        <f t="shared" si="81"/>
        <v>4.7455464583333322</v>
      </c>
      <c r="M707" s="1216">
        <f t="shared" si="81"/>
        <v>3.6642827083333334</v>
      </c>
      <c r="N707" s="1216">
        <f t="shared" si="81"/>
        <v>2.6731242708333331</v>
      </c>
      <c r="O707" s="1216">
        <f t="shared" si="81"/>
        <v>1.8621764583333327</v>
      </c>
      <c r="P707" s="1216">
        <f t="shared" si="81"/>
        <v>1.4717201041666668</v>
      </c>
      <c r="Q707" s="14"/>
    </row>
    <row r="708" spans="1:17">
      <c r="A708" s="1370"/>
      <c r="B708" s="1482"/>
      <c r="C708" s="979" t="s">
        <v>19</v>
      </c>
      <c r="D708" s="971" t="s">
        <v>599</v>
      </c>
      <c r="E708" s="808">
        <f>$L$507*$I$271</f>
        <v>4.8916010172367172E-2</v>
      </c>
      <c r="F708" s="808">
        <f>L508*$I$271</f>
        <v>6.2018512897108385E-2</v>
      </c>
      <c r="G708" s="808">
        <f>L509*$I$271</f>
        <v>8.7350018164941395E-2</v>
      </c>
      <c r="H708" s="808">
        <f>L510*$I$271</f>
        <v>0.10744052234287792</v>
      </c>
      <c r="I708" s="808">
        <f>L511*$I$271</f>
        <v>0.1257840261575156</v>
      </c>
      <c r="J708" s="808">
        <f>L512*$I$271</f>
        <v>0.13713952851895797</v>
      </c>
      <c r="K708" s="808">
        <f>L513*$I$271</f>
        <v>0.151989031606998</v>
      </c>
      <c r="L708" s="808">
        <f>L514*$I$271</f>
        <v>0.13801302870060739</v>
      </c>
      <c r="M708" s="808">
        <f>L515*$I$271</f>
        <v>0.1065670221612285</v>
      </c>
      <c r="N708" s="808">
        <f>L516*$I$271</f>
        <v>7.7741516166797836E-2</v>
      </c>
      <c r="O708" s="808">
        <f>L517*$I$271</f>
        <v>5.415701126226366E-2</v>
      </c>
      <c r="P708" s="808">
        <f>L518*$I$271</f>
        <v>4.2801508900821281E-2</v>
      </c>
      <c r="Q708" s="560"/>
    </row>
    <row r="709" spans="1:17">
      <c r="A709" s="1370"/>
      <c r="B709" s="1482"/>
      <c r="C709" s="991"/>
      <c r="D709" s="973" t="s">
        <v>828</v>
      </c>
      <c r="E709" s="218">
        <v>0</v>
      </c>
      <c r="F709" s="977">
        <v>0</v>
      </c>
      <c r="G709" s="138">
        <v>0</v>
      </c>
      <c r="H709" s="977">
        <v>0</v>
      </c>
      <c r="I709" s="977">
        <v>0</v>
      </c>
      <c r="J709" s="138">
        <v>0</v>
      </c>
      <c r="K709" s="977">
        <v>0</v>
      </c>
      <c r="L709" s="138">
        <v>0</v>
      </c>
      <c r="M709" s="977">
        <v>0</v>
      </c>
      <c r="N709" s="138">
        <v>0</v>
      </c>
      <c r="O709" s="977">
        <v>0</v>
      </c>
      <c r="P709" s="977">
        <v>0</v>
      </c>
      <c r="Q709" s="560"/>
    </row>
    <row r="710" spans="1:17" ht="15" customHeight="1">
      <c r="A710" s="1370"/>
      <c r="B710" s="1482"/>
      <c r="C710" s="991"/>
      <c r="D710" s="973" t="s">
        <v>620</v>
      </c>
      <c r="E710" s="218">
        <v>0</v>
      </c>
      <c r="F710" s="977">
        <v>0</v>
      </c>
      <c r="G710" s="138">
        <v>0</v>
      </c>
      <c r="H710" s="977">
        <v>0</v>
      </c>
      <c r="I710" s="977">
        <v>0</v>
      </c>
      <c r="J710" s="138">
        <v>0</v>
      </c>
      <c r="K710" s="977">
        <v>0</v>
      </c>
      <c r="L710" s="138">
        <v>0</v>
      </c>
      <c r="M710" s="977">
        <v>0</v>
      </c>
      <c r="N710" s="138">
        <v>0</v>
      </c>
      <c r="O710" s="977">
        <v>0</v>
      </c>
      <c r="P710" s="977">
        <v>0</v>
      </c>
      <c r="Q710" s="560"/>
    </row>
    <row r="711" spans="1:17">
      <c r="A711" s="1370"/>
      <c r="B711" s="1483"/>
      <c r="C711" s="871"/>
      <c r="D711" s="852" t="s">
        <v>631</v>
      </c>
      <c r="E711" s="1216">
        <f>E567</f>
        <v>1.6819658333333332</v>
      </c>
      <c r="F711" s="1216">
        <f t="shared" ref="F711:P711" si="82">F567</f>
        <v>2.1324923958333333</v>
      </c>
      <c r="G711" s="1216">
        <f t="shared" si="82"/>
        <v>3.0035104166666664</v>
      </c>
      <c r="H711" s="1216">
        <f t="shared" si="82"/>
        <v>3.6943178125</v>
      </c>
      <c r="I711" s="1216">
        <f t="shared" si="82"/>
        <v>4.3250549999999999</v>
      </c>
      <c r="J711" s="1216">
        <f t="shared" si="82"/>
        <v>4.715511354166666</v>
      </c>
      <c r="K711" s="1216">
        <f t="shared" si="82"/>
        <v>5.2261081249999997</v>
      </c>
      <c r="L711" s="1216">
        <f t="shared" si="82"/>
        <v>4.7455464583333322</v>
      </c>
      <c r="M711" s="1216">
        <f t="shared" si="82"/>
        <v>3.6642827083333334</v>
      </c>
      <c r="N711" s="1216">
        <f t="shared" si="82"/>
        <v>2.6731242708333331</v>
      </c>
      <c r="O711" s="1216">
        <f t="shared" si="82"/>
        <v>1.8621764583333327</v>
      </c>
      <c r="P711" s="1216">
        <f t="shared" si="82"/>
        <v>1.4717201041666668</v>
      </c>
      <c r="Q711" s="14"/>
    </row>
    <row r="712" spans="1:17">
      <c r="A712" s="1370"/>
      <c r="B712" s="1372" t="s">
        <v>810</v>
      </c>
      <c r="C712" s="979" t="s">
        <v>9</v>
      </c>
      <c r="D712" s="972" t="s">
        <v>600</v>
      </c>
      <c r="E712" s="976">
        <f>$L$507*$I$274</f>
        <v>5.0287487093087745E-2</v>
      </c>
      <c r="F712" s="976">
        <f>L508*$I$274</f>
        <v>6.3757349707307689E-2</v>
      </c>
      <c r="G712" s="976">
        <f>L509*$I$274</f>
        <v>8.9799084094799558E-2</v>
      </c>
      <c r="H712" s="976">
        <f>L510*$I$274</f>
        <v>0.11045287343660347</v>
      </c>
      <c r="I712" s="976">
        <f>L511*$I$274</f>
        <v>0.12931068109651137</v>
      </c>
      <c r="J712" s="976">
        <f>L512*$I$274</f>
        <v>0.1409845620288353</v>
      </c>
      <c r="K712" s="976">
        <f>L513*$I$274</f>
        <v>0.15625040632495121</v>
      </c>
      <c r="L712" s="976">
        <f>L514*$I$274</f>
        <v>0.1418825528697833</v>
      </c>
      <c r="M712" s="976">
        <f>L515*$I$274</f>
        <v>0.10955488259565546</v>
      </c>
      <c r="N712" s="976">
        <f>L516*$I$274</f>
        <v>7.9921184844371607E-2</v>
      </c>
      <c r="O712" s="976">
        <f>L517*$I$274</f>
        <v>5.5675432138775724E-2</v>
      </c>
      <c r="P712" s="976">
        <f>L518*$I$274</f>
        <v>4.4001551206451786E-2</v>
      </c>
      <c r="Q712" s="218"/>
    </row>
    <row r="713" spans="1:17">
      <c r="A713" s="1370"/>
      <c r="B713" s="1373"/>
      <c r="C713" s="980"/>
      <c r="D713" s="974" t="s">
        <v>846</v>
      </c>
      <c r="E713" s="977">
        <f>$N$507*$I$275</f>
        <v>5.3825026769549547E-2</v>
      </c>
      <c r="F713" s="977">
        <f>N508*$I$275</f>
        <v>5.9090518518744618E-2</v>
      </c>
      <c r="G713" s="977">
        <f>N509*$I$275</f>
        <v>7.0791611294733645E-2</v>
      </c>
      <c r="H713" s="977">
        <f>N510*$I$275</f>
        <v>7.3131829849931468E-2</v>
      </c>
      <c r="I713" s="977">
        <f>N511*$I$275</f>
        <v>7.4886993766329818E-2</v>
      </c>
      <c r="J713" s="977">
        <f>N512*$I$275</f>
        <v>7.6057103043928709E-2</v>
      </c>
      <c r="K713" s="977">
        <f>N513*$I$275</f>
        <v>8.5417977264719946E-2</v>
      </c>
      <c r="L713" s="977">
        <f>N514*$I$275</f>
        <v>8.8343250458717201E-2</v>
      </c>
      <c r="M713" s="977">
        <f>N515*$I$275</f>
        <v>8.0737540154324342E-2</v>
      </c>
      <c r="N713" s="977">
        <f>N516*$I$275</f>
        <v>7.0791611294733645E-2</v>
      </c>
      <c r="O713" s="977">
        <f>N517*$I$275</f>
        <v>5.7335354602346268E-2</v>
      </c>
      <c r="P713" s="977">
        <f>N518*$I$275</f>
        <v>4.7974480381555024E-2</v>
      </c>
      <c r="Q713" s="973"/>
    </row>
    <row r="714" spans="1:17">
      <c r="A714" s="1370"/>
      <c r="B714" s="1373"/>
      <c r="C714" s="980"/>
      <c r="D714" s="974" t="s">
        <v>816</v>
      </c>
      <c r="E714" s="218">
        <v>0</v>
      </c>
      <c r="F714" s="977">
        <v>0</v>
      </c>
      <c r="G714" s="138">
        <v>0</v>
      </c>
      <c r="H714" s="977">
        <v>0</v>
      </c>
      <c r="I714" s="977">
        <v>0</v>
      </c>
      <c r="J714" s="138">
        <v>0</v>
      </c>
      <c r="K714" s="977">
        <v>0</v>
      </c>
      <c r="L714" s="138">
        <v>0</v>
      </c>
      <c r="M714" s="977">
        <v>0</v>
      </c>
      <c r="N714" s="138">
        <v>0</v>
      </c>
      <c r="O714" s="977">
        <v>0</v>
      </c>
      <c r="P714" s="800">
        <v>0</v>
      </c>
      <c r="Q714" s="973"/>
    </row>
    <row r="715" spans="1:17">
      <c r="A715" s="1370"/>
      <c r="B715" s="1373"/>
      <c r="C715" s="981"/>
      <c r="D715" s="939" t="s">
        <v>618</v>
      </c>
      <c r="E715" s="1216">
        <f>E571</f>
        <v>2.7632295833333331</v>
      </c>
      <c r="F715" s="1216">
        <f t="shared" ref="F715:P715" si="83">F571</f>
        <v>3.0335455208333331</v>
      </c>
      <c r="G715" s="1216">
        <f t="shared" si="83"/>
        <v>3.6342476041666663</v>
      </c>
      <c r="H715" s="1216">
        <f t="shared" si="83"/>
        <v>3.7543880208333333</v>
      </c>
      <c r="I715" s="1216">
        <f t="shared" si="83"/>
        <v>3.8444933333333333</v>
      </c>
      <c r="J715" s="1216">
        <f t="shared" si="83"/>
        <v>3.9045635416666662</v>
      </c>
      <c r="K715" s="1216">
        <f t="shared" si="83"/>
        <v>4.3851252083333332</v>
      </c>
      <c r="L715" s="1216">
        <f t="shared" si="83"/>
        <v>4.5353007291666669</v>
      </c>
      <c r="M715" s="1216">
        <f t="shared" si="83"/>
        <v>4.1448443749999999</v>
      </c>
      <c r="N715" s="1216">
        <f t="shared" si="83"/>
        <v>3.6342476041666663</v>
      </c>
      <c r="O715" s="1216">
        <f t="shared" si="83"/>
        <v>2.9434402083333326</v>
      </c>
      <c r="P715" s="1216">
        <f t="shared" si="83"/>
        <v>2.4628785416666661</v>
      </c>
      <c r="Q715" s="973"/>
    </row>
    <row r="716" spans="1:17" ht="15" customHeight="1">
      <c r="A716" s="1370"/>
      <c r="B716" s="1373"/>
      <c r="C716" s="866" t="s">
        <v>804</v>
      </c>
      <c r="D716" s="973" t="s">
        <v>847</v>
      </c>
      <c r="E716" s="977">
        <f>$N$507*$I$277</f>
        <v>0.12717727255316824</v>
      </c>
      <c r="F716" s="977">
        <f>N508*$I$277</f>
        <v>0.13961852747684775</v>
      </c>
      <c r="G716" s="977">
        <f>N509*$I$277</f>
        <v>0.16726576064057996</v>
      </c>
      <c r="H716" s="977">
        <f>N510*$I$277</f>
        <v>0.17279520727332645</v>
      </c>
      <c r="I716" s="977">
        <f>N511*$I$277</f>
        <v>0.17694229224788627</v>
      </c>
      <c r="J716" s="977">
        <f>N512*$I$277</f>
        <v>0.17970701556425947</v>
      </c>
      <c r="K716" s="977">
        <f>N513*$I$277</f>
        <v>0.20182480209524525</v>
      </c>
      <c r="L716" s="977">
        <f>N514*$I$277</f>
        <v>0.20873661038617833</v>
      </c>
      <c r="M716" s="977">
        <f>N515*$I$277</f>
        <v>0.19076590882975239</v>
      </c>
      <c r="N716" s="977">
        <f>N516*$I$277</f>
        <v>0.16726576064057996</v>
      </c>
      <c r="O716" s="977">
        <f>N517*$I$277</f>
        <v>0.13547144250228793</v>
      </c>
      <c r="P716" s="977">
        <f>N518*$I$277</f>
        <v>0.11335365597130212</v>
      </c>
      <c r="Q716" s="973"/>
    </row>
    <row r="717" spans="1:17">
      <c r="A717" s="1370"/>
      <c r="B717" s="1373"/>
      <c r="C717" s="866"/>
      <c r="D717" s="973" t="s">
        <v>848</v>
      </c>
      <c r="E717" s="977">
        <f>$K$507*$I$278</f>
        <v>0.12392273605082339</v>
      </c>
      <c r="F717" s="977">
        <f>K508*$I$278</f>
        <v>0.12715550307823617</v>
      </c>
      <c r="G717" s="977">
        <f>K509*$I$278</f>
        <v>0.13469862614219935</v>
      </c>
      <c r="H717" s="977">
        <f>K510*$I$278</f>
        <v>0.11530202397772264</v>
      </c>
      <c r="I717" s="977">
        <f>K511*$I$278</f>
        <v>0.10344854487720909</v>
      </c>
      <c r="J717" s="977">
        <f>K512*$I$278</f>
        <v>9.9138188840658711E-2</v>
      </c>
      <c r="K717" s="977">
        <f>K513*$I$278</f>
        <v>0.10775890091375948</v>
      </c>
      <c r="L717" s="977">
        <f>K514*$I$278</f>
        <v>0.12715550307823617</v>
      </c>
      <c r="M717" s="977">
        <f>K515*$I$278</f>
        <v>0.1422417492061625</v>
      </c>
      <c r="N717" s="977">
        <f>K516*$I$278</f>
        <v>0.14762969425185046</v>
      </c>
      <c r="O717" s="977">
        <f>K517*$I$278</f>
        <v>0.13038827010564896</v>
      </c>
      <c r="P717" s="977">
        <f>K518*$I$278</f>
        <v>0.11206925695030986</v>
      </c>
      <c r="Q717" s="973"/>
    </row>
    <row r="718" spans="1:17">
      <c r="A718" s="1370"/>
      <c r="B718" s="1373"/>
      <c r="C718" s="866"/>
      <c r="D718" s="973" t="s">
        <v>815</v>
      </c>
      <c r="E718" s="218">
        <v>0</v>
      </c>
      <c r="F718" s="977">
        <v>0</v>
      </c>
      <c r="G718" s="138">
        <v>0</v>
      </c>
      <c r="H718" s="977">
        <v>0</v>
      </c>
      <c r="I718" s="977">
        <v>0</v>
      </c>
      <c r="J718" s="138">
        <v>0</v>
      </c>
      <c r="K718" s="977">
        <v>0</v>
      </c>
      <c r="L718" s="138">
        <v>0</v>
      </c>
      <c r="M718" s="977">
        <v>0</v>
      </c>
      <c r="N718" s="138">
        <v>0</v>
      </c>
      <c r="O718" s="977">
        <v>0</v>
      </c>
      <c r="P718" s="800">
        <v>0</v>
      </c>
      <c r="Q718" s="973"/>
    </row>
    <row r="719" spans="1:17">
      <c r="A719" s="1370"/>
      <c r="B719" s="1373"/>
      <c r="C719" s="980"/>
      <c r="D719" s="973" t="s">
        <v>850</v>
      </c>
      <c r="E719" s="218">
        <v>0</v>
      </c>
      <c r="F719" s="977">
        <v>0</v>
      </c>
      <c r="G719" s="138">
        <v>0</v>
      </c>
      <c r="H719" s="977">
        <v>0</v>
      </c>
      <c r="I719" s="977">
        <v>0</v>
      </c>
      <c r="J719" s="138">
        <v>0</v>
      </c>
      <c r="K719" s="977">
        <v>0</v>
      </c>
      <c r="L719" s="138">
        <v>0</v>
      </c>
      <c r="M719" s="977">
        <v>0</v>
      </c>
      <c r="N719" s="138">
        <v>0</v>
      </c>
      <c r="O719" s="977">
        <v>0</v>
      </c>
      <c r="P719" s="800">
        <v>0</v>
      </c>
      <c r="Q719" s="973"/>
    </row>
    <row r="720" spans="1:17">
      <c r="A720" s="1370"/>
      <c r="B720" s="1373"/>
      <c r="C720" s="980"/>
      <c r="D720" s="973" t="s">
        <v>849</v>
      </c>
      <c r="E720" s="218">
        <v>0</v>
      </c>
      <c r="F720" s="977">
        <v>0</v>
      </c>
      <c r="G720" s="138">
        <v>0</v>
      </c>
      <c r="H720" s="977">
        <v>0</v>
      </c>
      <c r="I720" s="977">
        <v>0</v>
      </c>
      <c r="J720" s="138">
        <v>0</v>
      </c>
      <c r="K720" s="977">
        <v>0</v>
      </c>
      <c r="L720" s="138">
        <v>0</v>
      </c>
      <c r="M720" s="977">
        <v>0</v>
      </c>
      <c r="N720" s="138">
        <v>0</v>
      </c>
      <c r="O720" s="977">
        <v>0</v>
      </c>
      <c r="P720" s="800">
        <v>0</v>
      </c>
      <c r="Q720" s="973"/>
    </row>
    <row r="721" spans="1:17">
      <c r="A721" s="1370"/>
      <c r="B721" s="1373"/>
      <c r="C721" s="980"/>
      <c r="D721" s="847" t="s">
        <v>619</v>
      </c>
      <c r="E721" s="1216">
        <f>E577</f>
        <v>2.7632295833333331</v>
      </c>
      <c r="F721" s="1216">
        <f t="shared" ref="F721:P722" si="84">F577</f>
        <v>3.0335455208333331</v>
      </c>
      <c r="G721" s="1216">
        <f t="shared" si="84"/>
        <v>3.6342476041666663</v>
      </c>
      <c r="H721" s="1216">
        <f t="shared" si="84"/>
        <v>3.7543880208333333</v>
      </c>
      <c r="I721" s="1216">
        <f t="shared" si="84"/>
        <v>3.8444933333333333</v>
      </c>
      <c r="J721" s="1216">
        <f t="shared" si="84"/>
        <v>3.9045635416666662</v>
      </c>
      <c r="K721" s="1216">
        <f t="shared" si="84"/>
        <v>4.3851252083333332</v>
      </c>
      <c r="L721" s="1216">
        <f t="shared" si="84"/>
        <v>4.5353007291666669</v>
      </c>
      <c r="M721" s="1216">
        <f t="shared" si="84"/>
        <v>4.1448443749999999</v>
      </c>
      <c r="N721" s="1216">
        <f t="shared" si="84"/>
        <v>3.6342476041666663</v>
      </c>
      <c r="O721" s="1216">
        <f t="shared" si="84"/>
        <v>2.9434402083333326</v>
      </c>
      <c r="P721" s="1216">
        <f t="shared" si="84"/>
        <v>2.4628785416666661</v>
      </c>
      <c r="Q721" s="973"/>
    </row>
    <row r="722" spans="1:17">
      <c r="A722" s="1370"/>
      <c r="B722" s="1373"/>
      <c r="C722" s="981"/>
      <c r="D722" s="852" t="s">
        <v>631</v>
      </c>
      <c r="E722" s="1216">
        <f>E578</f>
        <v>4.7599218749999999</v>
      </c>
      <c r="F722" s="1216">
        <f t="shared" si="84"/>
        <v>4.8840937499999999</v>
      </c>
      <c r="G722" s="1216">
        <f t="shared" si="84"/>
        <v>5.173828125</v>
      </c>
      <c r="H722" s="1216">
        <f t="shared" si="84"/>
        <v>4.4287968750000006</v>
      </c>
      <c r="I722" s="1216">
        <f t="shared" si="84"/>
        <v>3.9735</v>
      </c>
      <c r="J722" s="1216">
        <f t="shared" si="84"/>
        <v>3.8079375</v>
      </c>
      <c r="K722" s="1216">
        <f t="shared" si="84"/>
        <v>4.1390624999999996</v>
      </c>
      <c r="L722" s="1216">
        <f t="shared" si="84"/>
        <v>4.8840937499999999</v>
      </c>
      <c r="M722" s="1216">
        <f t="shared" si="84"/>
        <v>5.4635625000000001</v>
      </c>
      <c r="N722" s="1216">
        <f t="shared" si="84"/>
        <v>5.6705156250000002</v>
      </c>
      <c r="O722" s="1216">
        <f t="shared" si="84"/>
        <v>5.0082656249999999</v>
      </c>
      <c r="P722" s="1216">
        <f t="shared" si="84"/>
        <v>4.3046250000000006</v>
      </c>
      <c r="Q722" s="973"/>
    </row>
    <row r="723" spans="1:17">
      <c r="A723" s="1370"/>
      <c r="B723" s="1373"/>
      <c r="C723" s="980" t="s">
        <v>22</v>
      </c>
      <c r="D723" s="973" t="s">
        <v>828</v>
      </c>
      <c r="E723" s="218">
        <v>0</v>
      </c>
      <c r="F723" s="977">
        <v>0</v>
      </c>
      <c r="G723" s="138">
        <v>0</v>
      </c>
      <c r="H723" s="977">
        <v>0</v>
      </c>
      <c r="I723" s="977">
        <v>0</v>
      </c>
      <c r="J723" s="138">
        <v>0</v>
      </c>
      <c r="K723" s="977">
        <v>0</v>
      </c>
      <c r="L723" s="138">
        <v>0</v>
      </c>
      <c r="M723" s="977">
        <v>0</v>
      </c>
      <c r="N723" s="138">
        <v>0</v>
      </c>
      <c r="O723" s="977">
        <v>0</v>
      </c>
      <c r="P723" s="800">
        <v>0</v>
      </c>
      <c r="Q723" s="973"/>
    </row>
    <row r="724" spans="1:17" ht="23.25" customHeight="1">
      <c r="A724" s="1370"/>
      <c r="B724" s="1373"/>
      <c r="C724" s="981"/>
      <c r="D724" s="975" t="s">
        <v>822</v>
      </c>
      <c r="E724" s="210">
        <v>0</v>
      </c>
      <c r="F724" s="978">
        <v>0</v>
      </c>
      <c r="G724" s="227">
        <v>0</v>
      </c>
      <c r="H724" s="978">
        <v>0</v>
      </c>
      <c r="I724" s="978">
        <v>0</v>
      </c>
      <c r="J724" s="227">
        <v>0</v>
      </c>
      <c r="K724" s="978">
        <v>0</v>
      </c>
      <c r="L724" s="227">
        <v>0</v>
      </c>
      <c r="M724" s="978">
        <v>0</v>
      </c>
      <c r="N724" s="227">
        <v>0</v>
      </c>
      <c r="O724" s="978">
        <v>0</v>
      </c>
      <c r="P724" s="801">
        <v>0</v>
      </c>
      <c r="Q724" s="218"/>
    </row>
    <row r="725" spans="1:17" ht="15" customHeight="1">
      <c r="A725" s="1370"/>
      <c r="B725" s="1373"/>
      <c r="C725" s="979" t="s">
        <v>803</v>
      </c>
      <c r="D725" s="971" t="s">
        <v>852</v>
      </c>
      <c r="E725" s="218">
        <v>0</v>
      </c>
      <c r="F725" s="977">
        <v>0</v>
      </c>
      <c r="G725" s="138">
        <v>0</v>
      </c>
      <c r="H725" s="977">
        <v>0</v>
      </c>
      <c r="I725" s="977">
        <v>0</v>
      </c>
      <c r="J725" s="138">
        <v>0</v>
      </c>
      <c r="K725" s="977">
        <v>0</v>
      </c>
      <c r="L725" s="138">
        <v>0</v>
      </c>
      <c r="M725" s="977">
        <v>0</v>
      </c>
      <c r="N725" s="138">
        <v>0</v>
      </c>
      <c r="O725" s="977">
        <v>0</v>
      </c>
      <c r="P725" s="800">
        <v>0</v>
      </c>
      <c r="Q725" s="218"/>
    </row>
    <row r="726" spans="1:17">
      <c r="A726" s="1370"/>
      <c r="B726" s="1373"/>
      <c r="C726" s="980"/>
      <c r="D726" s="973" t="s">
        <v>877</v>
      </c>
      <c r="E726" s="218">
        <v>0</v>
      </c>
      <c r="F726" s="977">
        <v>0</v>
      </c>
      <c r="G726" s="138">
        <v>0</v>
      </c>
      <c r="H726" s="977">
        <v>0</v>
      </c>
      <c r="I726" s="977">
        <v>0</v>
      </c>
      <c r="J726" s="138">
        <v>0</v>
      </c>
      <c r="K726" s="977">
        <v>0</v>
      </c>
      <c r="L726" s="138">
        <v>0</v>
      </c>
      <c r="M726" s="977">
        <v>0</v>
      </c>
      <c r="N726" s="138">
        <v>0</v>
      </c>
      <c r="O726" s="977">
        <v>0</v>
      </c>
      <c r="P726" s="800">
        <v>0</v>
      </c>
      <c r="Q726" s="218"/>
    </row>
    <row r="727" spans="1:17">
      <c r="A727" s="1370"/>
      <c r="B727" s="1373"/>
      <c r="C727" s="981"/>
      <c r="D727" s="975" t="s">
        <v>824</v>
      </c>
      <c r="E727" s="210">
        <v>0</v>
      </c>
      <c r="F727" s="978">
        <v>0</v>
      </c>
      <c r="G727" s="227">
        <v>0</v>
      </c>
      <c r="H727" s="978">
        <v>0</v>
      </c>
      <c r="I727" s="978">
        <v>0</v>
      </c>
      <c r="J727" s="227">
        <v>0</v>
      </c>
      <c r="K727" s="978">
        <v>0</v>
      </c>
      <c r="L727" s="227">
        <v>0</v>
      </c>
      <c r="M727" s="978">
        <v>0</v>
      </c>
      <c r="N727" s="227">
        <v>0</v>
      </c>
      <c r="O727" s="978">
        <v>0</v>
      </c>
      <c r="P727" s="801">
        <v>0</v>
      </c>
      <c r="Q727" s="1021"/>
    </row>
    <row r="728" spans="1:17">
      <c r="A728" s="1370"/>
      <c r="B728" s="1373"/>
      <c r="C728" s="979" t="s">
        <v>802</v>
      </c>
      <c r="D728" s="971" t="s">
        <v>853</v>
      </c>
      <c r="E728" s="977">
        <f>$K$507*$I$287</f>
        <v>0.10952767075199037</v>
      </c>
      <c r="F728" s="977">
        <f>K508*$I$287</f>
        <v>0.1123849143368249</v>
      </c>
      <c r="G728" s="977">
        <f>K509*$I$287</f>
        <v>0.11905181603477215</v>
      </c>
      <c r="H728" s="977">
        <f>K510*$I$287</f>
        <v>0.10190835452576497</v>
      </c>
      <c r="I728" s="977">
        <f>K511*$I$287</f>
        <v>9.1431794714705E-2</v>
      </c>
      <c r="J728" s="977">
        <f>K512*$I$287</f>
        <v>8.7622136601592293E-2</v>
      </c>
      <c r="K728" s="977">
        <f>K513*$I$287</f>
        <v>9.5241452827817721E-2</v>
      </c>
      <c r="L728" s="977">
        <f>K514*$I$287</f>
        <v>0.1123849143368249</v>
      </c>
      <c r="M728" s="977">
        <f>K515*$I$287</f>
        <v>0.12571871773271939</v>
      </c>
      <c r="N728" s="977">
        <f>K516*$I$287</f>
        <v>0.13048079037411026</v>
      </c>
      <c r="O728" s="977">
        <f>K517*$I$287</f>
        <v>0.11524215792165943</v>
      </c>
      <c r="P728" s="977">
        <f>K518*$I$287</f>
        <v>9.9051110940930442E-2</v>
      </c>
      <c r="Q728" s="14"/>
    </row>
    <row r="729" spans="1:17" ht="15" customHeight="1">
      <c r="A729" s="1370"/>
      <c r="B729" s="1373"/>
      <c r="C729" s="980"/>
      <c r="D729" s="973" t="s">
        <v>825</v>
      </c>
      <c r="E729" s="218">
        <v>0</v>
      </c>
      <c r="F729" s="977">
        <v>0</v>
      </c>
      <c r="G729" s="138">
        <v>0</v>
      </c>
      <c r="H729" s="977">
        <v>0</v>
      </c>
      <c r="I729" s="977">
        <v>0</v>
      </c>
      <c r="J729" s="138">
        <v>0</v>
      </c>
      <c r="K729" s="977">
        <v>0</v>
      </c>
      <c r="L729" s="138">
        <v>0</v>
      </c>
      <c r="M729" s="977">
        <v>0</v>
      </c>
      <c r="N729" s="138">
        <v>0</v>
      </c>
      <c r="O729" s="977">
        <v>0</v>
      </c>
      <c r="P729" s="800">
        <v>0</v>
      </c>
      <c r="Q729" s="560"/>
    </row>
    <row r="730" spans="1:17">
      <c r="A730" s="1370"/>
      <c r="B730" s="1373"/>
      <c r="C730" s="980"/>
      <c r="D730" s="853" t="s">
        <v>858</v>
      </c>
      <c r="E730" s="1216">
        <f>E586</f>
        <v>4.7599218749999999</v>
      </c>
      <c r="F730" s="1216">
        <f t="shared" ref="F730:P731" si="85">F586</f>
        <v>4.8840937499999999</v>
      </c>
      <c r="G730" s="1216">
        <f t="shared" si="85"/>
        <v>5.173828125</v>
      </c>
      <c r="H730" s="1216">
        <f t="shared" si="85"/>
        <v>4.4287968750000006</v>
      </c>
      <c r="I730" s="1216">
        <f t="shared" si="85"/>
        <v>3.9735</v>
      </c>
      <c r="J730" s="1216">
        <f t="shared" si="85"/>
        <v>3.8079375</v>
      </c>
      <c r="K730" s="1216">
        <f t="shared" si="85"/>
        <v>4.1390624999999996</v>
      </c>
      <c r="L730" s="1216">
        <f t="shared" si="85"/>
        <v>4.8840937499999999</v>
      </c>
      <c r="M730" s="1216">
        <f t="shared" si="85"/>
        <v>5.4635625000000001</v>
      </c>
      <c r="N730" s="1216">
        <f t="shared" si="85"/>
        <v>5.6705156250000002</v>
      </c>
      <c r="O730" s="1216">
        <f t="shared" si="85"/>
        <v>5.0082656249999999</v>
      </c>
      <c r="P730" s="1216">
        <f t="shared" si="85"/>
        <v>4.3046250000000006</v>
      </c>
      <c r="Q730" s="560"/>
    </row>
    <row r="731" spans="1:17" ht="15" customHeight="1">
      <c r="A731" s="1370"/>
      <c r="B731" s="1373"/>
      <c r="C731" s="981"/>
      <c r="D731" s="852" t="s">
        <v>631</v>
      </c>
      <c r="E731" s="1216">
        <f>E587</f>
        <v>4.7599218749999999</v>
      </c>
      <c r="F731" s="1216">
        <f t="shared" si="85"/>
        <v>4.8840937499999999</v>
      </c>
      <c r="G731" s="1216">
        <f t="shared" si="85"/>
        <v>5.173828125</v>
      </c>
      <c r="H731" s="1216">
        <f t="shared" si="85"/>
        <v>4.4287968750000006</v>
      </c>
      <c r="I731" s="1216">
        <f t="shared" si="85"/>
        <v>3.9735</v>
      </c>
      <c r="J731" s="1216">
        <f t="shared" si="85"/>
        <v>3.8079375</v>
      </c>
      <c r="K731" s="1216">
        <f t="shared" si="85"/>
        <v>4.1390624999999996</v>
      </c>
      <c r="L731" s="1216">
        <f t="shared" si="85"/>
        <v>4.8840937499999999</v>
      </c>
      <c r="M731" s="1216">
        <f t="shared" si="85"/>
        <v>5.4635625000000001</v>
      </c>
      <c r="N731" s="1216">
        <f t="shared" si="85"/>
        <v>5.6705156250000002</v>
      </c>
      <c r="O731" s="1216">
        <f t="shared" si="85"/>
        <v>5.0082656249999999</v>
      </c>
      <c r="P731" s="1216">
        <f t="shared" si="85"/>
        <v>4.3046250000000006</v>
      </c>
      <c r="Q731" s="560"/>
    </row>
    <row r="732" spans="1:17">
      <c r="A732" s="1370"/>
      <c r="B732" s="1373"/>
      <c r="C732" s="980" t="s">
        <v>587</v>
      </c>
      <c r="D732" s="973" t="s">
        <v>602</v>
      </c>
      <c r="E732" s="977">
        <f>$K$507*$I$289</f>
        <v>6.2587240429708785E-2</v>
      </c>
      <c r="F732" s="977">
        <f>K508*$I$289</f>
        <v>6.4219951049614227E-2</v>
      </c>
      <c r="G732" s="977">
        <f>K509*$I$289</f>
        <v>6.8029609162726948E-2</v>
      </c>
      <c r="H732" s="977">
        <f>K510*$I$289</f>
        <v>5.8233345443294261E-2</v>
      </c>
      <c r="I732" s="977">
        <f>K511*$I$289</f>
        <v>5.2246739836974289E-2</v>
      </c>
      <c r="J732" s="977">
        <f>K512*$I$289</f>
        <v>5.0069792343767024E-2</v>
      </c>
      <c r="K732" s="977">
        <f>K513*$I$289</f>
        <v>5.4423687330181554E-2</v>
      </c>
      <c r="L732" s="977">
        <f>K514*$I$289</f>
        <v>6.4219951049614227E-2</v>
      </c>
      <c r="M732" s="977">
        <f>K515*$I$289</f>
        <v>7.1839267275839641E-2</v>
      </c>
      <c r="N732" s="977">
        <f>K516*$I$289</f>
        <v>7.456045164234873E-2</v>
      </c>
      <c r="O732" s="977">
        <f>K517*$I$289</f>
        <v>6.5852661669519669E-2</v>
      </c>
      <c r="P732" s="977">
        <f>K518*$I$289</f>
        <v>5.6600634823388826E-2</v>
      </c>
      <c r="Q732" s="560"/>
    </row>
    <row r="733" spans="1:17">
      <c r="A733" s="1370"/>
      <c r="B733" s="1373"/>
      <c r="C733" s="980"/>
      <c r="D733" s="973" t="s">
        <v>834</v>
      </c>
      <c r="E733" s="218">
        <v>0</v>
      </c>
      <c r="F733" s="977">
        <v>0</v>
      </c>
      <c r="G733" s="138">
        <v>0</v>
      </c>
      <c r="H733" s="977">
        <v>0</v>
      </c>
      <c r="I733" s="977">
        <v>0</v>
      </c>
      <c r="J733" s="138">
        <v>0</v>
      </c>
      <c r="K733" s="977">
        <v>0</v>
      </c>
      <c r="L733" s="138">
        <v>0</v>
      </c>
      <c r="M733" s="977">
        <v>0</v>
      </c>
      <c r="N733" s="138">
        <v>0</v>
      </c>
      <c r="O733" s="977">
        <v>0</v>
      </c>
      <c r="P733" s="800">
        <v>0</v>
      </c>
      <c r="Q733" s="560"/>
    </row>
    <row r="734" spans="1:17">
      <c r="A734" s="1370"/>
      <c r="B734" s="1373"/>
      <c r="C734" s="981"/>
      <c r="D734" s="854" t="s">
        <v>859</v>
      </c>
      <c r="E734" s="1216">
        <f>E590</f>
        <v>4.7599218749999999</v>
      </c>
      <c r="F734" s="1216">
        <f t="shared" ref="F734:P734" si="86">F590</f>
        <v>4.8840937499999999</v>
      </c>
      <c r="G734" s="1216">
        <f t="shared" si="86"/>
        <v>5.173828125</v>
      </c>
      <c r="H734" s="1216">
        <f t="shared" si="86"/>
        <v>4.4287968750000006</v>
      </c>
      <c r="I734" s="1216">
        <f t="shared" si="86"/>
        <v>3.9735</v>
      </c>
      <c r="J734" s="1216">
        <f t="shared" si="86"/>
        <v>3.8079375</v>
      </c>
      <c r="K734" s="1216">
        <f t="shared" si="86"/>
        <v>4.1390624999999996</v>
      </c>
      <c r="L734" s="1216">
        <f t="shared" si="86"/>
        <v>4.8840937499999999</v>
      </c>
      <c r="M734" s="1216">
        <f t="shared" si="86"/>
        <v>5.4635625000000001</v>
      </c>
      <c r="N734" s="1216">
        <f t="shared" si="86"/>
        <v>5.6705156250000002</v>
      </c>
      <c r="O734" s="1216">
        <f t="shared" si="86"/>
        <v>5.0082656249999999</v>
      </c>
      <c r="P734" s="1216">
        <f t="shared" si="86"/>
        <v>4.3046250000000006</v>
      </c>
      <c r="Q734" s="560"/>
    </row>
    <row r="735" spans="1:17">
      <c r="A735" s="1370"/>
      <c r="B735" s="1373"/>
      <c r="C735" s="979" t="s">
        <v>20</v>
      </c>
      <c r="D735" s="971" t="s">
        <v>598</v>
      </c>
      <c r="E735" s="977">
        <f>$K$507*$I$291</f>
        <v>0.11109235176273308</v>
      </c>
      <c r="F735" s="977">
        <f>K508*$I$291</f>
        <v>0.11399041311306525</v>
      </c>
      <c r="G735" s="977">
        <f>K509*$I$291</f>
        <v>0.12075255626384032</v>
      </c>
      <c r="H735" s="977">
        <f>K510*$I$291</f>
        <v>0.10336418816184731</v>
      </c>
      <c r="I735" s="977">
        <f>K511*$I$291</f>
        <v>9.2737963210629354E-2</v>
      </c>
      <c r="J735" s="977">
        <f>K512*$I$291</f>
        <v>8.887388141018647E-2</v>
      </c>
      <c r="K735" s="977">
        <f>K513*$I$291</f>
        <v>9.6602045011072252E-2</v>
      </c>
      <c r="L735" s="977">
        <f>K514*$I$291</f>
        <v>0.11399041311306525</v>
      </c>
      <c r="M735" s="977">
        <f>K515*$I$291</f>
        <v>0.12751469941461538</v>
      </c>
      <c r="N735" s="977">
        <f>K516*$I$291</f>
        <v>0.13234480166516899</v>
      </c>
      <c r="O735" s="977">
        <f>K517*$I$291</f>
        <v>0.11688847446339741</v>
      </c>
      <c r="P735" s="977">
        <f>K518*$I$291</f>
        <v>0.10046612681151516</v>
      </c>
      <c r="Q735" s="560"/>
    </row>
    <row r="736" spans="1:17">
      <c r="A736" s="1370"/>
      <c r="B736" s="1373"/>
      <c r="C736" s="991"/>
      <c r="D736" s="973" t="s">
        <v>601</v>
      </c>
      <c r="E736" s="977">
        <f>$L$507*$I$292</f>
        <v>5.6078167425019074E-2</v>
      </c>
      <c r="F736" s="977">
        <f>L508*$I$292</f>
        <v>7.1099105128149181E-2</v>
      </c>
      <c r="G736" s="977">
        <f>L509*$I$292</f>
        <v>0.10013958468753406</v>
      </c>
      <c r="H736" s="977">
        <f>L510*$I$292</f>
        <v>0.12317168916566691</v>
      </c>
      <c r="I736" s="977">
        <f>L511*$I$292</f>
        <v>0.14420100195004906</v>
      </c>
      <c r="J736" s="977">
        <f>L512*$I$292</f>
        <v>0.15721914795942848</v>
      </c>
      <c r="K736" s="977">
        <f>L513*$I$292</f>
        <v>0.17424287735630928</v>
      </c>
      <c r="L736" s="977">
        <f>L514*$I$292</f>
        <v>0.15822054380630382</v>
      </c>
      <c r="M736" s="977">
        <f>L515*$I$292</f>
        <v>0.12217029331879156</v>
      </c>
      <c r="N736" s="977">
        <f>L516*$I$292</f>
        <v>8.9124230371905325E-2</v>
      </c>
      <c r="O736" s="977">
        <f>L517*$I$292</f>
        <v>6.2086542506271117E-2</v>
      </c>
      <c r="P736" s="977">
        <f>L518*$I$292</f>
        <v>4.9068396496891695E-2</v>
      </c>
      <c r="Q736" s="560"/>
    </row>
    <row r="737" spans="1:17">
      <c r="A737" s="1370"/>
      <c r="B737" s="1373"/>
      <c r="C737" s="991"/>
      <c r="D737" s="973" t="s">
        <v>621</v>
      </c>
      <c r="E737" s="218">
        <v>0</v>
      </c>
      <c r="F737" s="977">
        <v>0</v>
      </c>
      <c r="G737" s="138">
        <v>0</v>
      </c>
      <c r="H737" s="977">
        <v>0</v>
      </c>
      <c r="I737" s="977">
        <v>0</v>
      </c>
      <c r="J737" s="138">
        <v>0</v>
      </c>
      <c r="K737" s="977">
        <v>0</v>
      </c>
      <c r="L737" s="138">
        <v>0</v>
      </c>
      <c r="M737" s="977">
        <v>0</v>
      </c>
      <c r="N737" s="138">
        <v>0</v>
      </c>
      <c r="O737" s="977">
        <v>0</v>
      </c>
      <c r="P737" s="800">
        <v>0</v>
      </c>
      <c r="Q737" s="560"/>
    </row>
    <row r="738" spans="1:17">
      <c r="A738" s="1370"/>
      <c r="B738" s="1373"/>
      <c r="C738" s="991"/>
      <c r="D738" s="849" t="s">
        <v>631</v>
      </c>
      <c r="E738" s="1216">
        <f>E594</f>
        <v>4.7599218749999999</v>
      </c>
      <c r="F738" s="1216">
        <f t="shared" ref="F738:P740" si="87">F594</f>
        <v>4.8840937499999999</v>
      </c>
      <c r="G738" s="1216">
        <f t="shared" si="87"/>
        <v>5.173828125</v>
      </c>
      <c r="H738" s="1216">
        <f t="shared" si="87"/>
        <v>4.4287968750000006</v>
      </c>
      <c r="I738" s="1216">
        <f t="shared" si="87"/>
        <v>3.9735</v>
      </c>
      <c r="J738" s="1216">
        <f t="shared" si="87"/>
        <v>3.8079375</v>
      </c>
      <c r="K738" s="1216">
        <f t="shared" si="87"/>
        <v>4.1390624999999996</v>
      </c>
      <c r="L738" s="1216">
        <f t="shared" si="87"/>
        <v>4.8840937499999999</v>
      </c>
      <c r="M738" s="1216">
        <f t="shared" si="87"/>
        <v>5.4635625000000001</v>
      </c>
      <c r="N738" s="1216">
        <f t="shared" si="87"/>
        <v>5.6705156250000002</v>
      </c>
      <c r="O738" s="1216">
        <f t="shared" si="87"/>
        <v>5.0082656249999999</v>
      </c>
      <c r="P738" s="1216">
        <f t="shared" si="87"/>
        <v>4.3046250000000006</v>
      </c>
      <c r="Q738" s="560"/>
    </row>
    <row r="739" spans="1:17">
      <c r="A739" s="1370"/>
      <c r="B739" s="1373"/>
      <c r="C739" s="991"/>
      <c r="D739" s="851" t="s">
        <v>859</v>
      </c>
      <c r="E739" s="1216">
        <f>E595</f>
        <v>1.6819658333333332</v>
      </c>
      <c r="F739" s="1216">
        <f t="shared" si="87"/>
        <v>2.1324923958333333</v>
      </c>
      <c r="G739" s="1216">
        <f t="shared" si="87"/>
        <v>3.0035104166666664</v>
      </c>
      <c r="H739" s="1216">
        <f t="shared" si="87"/>
        <v>3.6943178125</v>
      </c>
      <c r="I739" s="1216">
        <f t="shared" si="87"/>
        <v>4.3250549999999999</v>
      </c>
      <c r="J739" s="1216">
        <f t="shared" si="87"/>
        <v>4.715511354166666</v>
      </c>
      <c r="K739" s="1216">
        <f t="shared" si="87"/>
        <v>5.2261081249999997</v>
      </c>
      <c r="L739" s="1216">
        <f t="shared" si="87"/>
        <v>4.7455464583333322</v>
      </c>
      <c r="M739" s="1216">
        <f t="shared" si="87"/>
        <v>3.6642827083333334</v>
      </c>
      <c r="N739" s="1216">
        <f t="shared" si="87"/>
        <v>2.6731242708333331</v>
      </c>
      <c r="O739" s="1216">
        <f t="shared" si="87"/>
        <v>1.8621764583333327</v>
      </c>
      <c r="P739" s="1216">
        <f t="shared" si="87"/>
        <v>1.4717201041666668</v>
      </c>
      <c r="Q739" s="560"/>
    </row>
    <row r="740" spans="1:17">
      <c r="A740" s="1370"/>
      <c r="B740" s="1373"/>
      <c r="C740" s="865"/>
      <c r="D740" s="940" t="s">
        <v>858</v>
      </c>
      <c r="E740" s="1216">
        <f>E596</f>
        <v>1.6819658333333332</v>
      </c>
      <c r="F740" s="1216">
        <f t="shared" si="87"/>
        <v>2.1324923958333333</v>
      </c>
      <c r="G740" s="1216">
        <f t="shared" si="87"/>
        <v>3.0035104166666664</v>
      </c>
      <c r="H740" s="1216">
        <f t="shared" si="87"/>
        <v>3.6943178125</v>
      </c>
      <c r="I740" s="1216">
        <f t="shared" si="87"/>
        <v>4.3250549999999999</v>
      </c>
      <c r="J740" s="1216">
        <f t="shared" si="87"/>
        <v>4.715511354166666</v>
      </c>
      <c r="K740" s="1216">
        <f t="shared" si="87"/>
        <v>5.2261081249999997</v>
      </c>
      <c r="L740" s="1216">
        <f t="shared" si="87"/>
        <v>4.7455464583333322</v>
      </c>
      <c r="M740" s="1216">
        <f t="shared" si="87"/>
        <v>3.6642827083333334</v>
      </c>
      <c r="N740" s="1216">
        <f t="shared" si="87"/>
        <v>2.6731242708333331</v>
      </c>
      <c r="O740" s="1216">
        <f t="shared" si="87"/>
        <v>1.8621764583333327</v>
      </c>
      <c r="P740" s="1216">
        <f t="shared" si="87"/>
        <v>1.4717201041666668</v>
      </c>
      <c r="Q740" s="560"/>
    </row>
    <row r="741" spans="1:17">
      <c r="A741" s="1370"/>
      <c r="B741" s="1373"/>
      <c r="C741" s="980" t="s">
        <v>586</v>
      </c>
      <c r="D741" s="973" t="s">
        <v>597</v>
      </c>
      <c r="E741" s="977">
        <f>$L$507*$I$294</f>
        <v>4.3582488814009383E-2</v>
      </c>
      <c r="F741" s="977">
        <f>L508*$I$294</f>
        <v>5.5256369746333328E-2</v>
      </c>
      <c r="G741" s="977">
        <f>L509*$I$294</f>
        <v>7.7825872882159614E-2</v>
      </c>
      <c r="H741" s="977">
        <f>L510*$I$294</f>
        <v>9.5725823645056343E-2</v>
      </c>
      <c r="I741" s="977">
        <f>L511*$I$294</f>
        <v>0.11206925695030985</v>
      </c>
      <c r="J741" s="977">
        <f>L512*$I$294</f>
        <v>0.12218662042499059</v>
      </c>
      <c r="K741" s="977">
        <f>L513*$I$294</f>
        <v>0.13541701881495774</v>
      </c>
      <c r="L741" s="977">
        <f>L514*$I$294</f>
        <v>0.12296487915381218</v>
      </c>
      <c r="M741" s="977">
        <f>L515*$I$294</f>
        <v>9.4947564916234739E-2</v>
      </c>
      <c r="N741" s="977">
        <f>L516*$I$294</f>
        <v>6.9265026865122065E-2</v>
      </c>
      <c r="O741" s="977">
        <f>L517*$I$294</f>
        <v>4.825204118693896E-2</v>
      </c>
      <c r="P741" s="977">
        <f>L518*$I$294</f>
        <v>3.8134677712258216E-2</v>
      </c>
      <c r="Q741" s="560"/>
    </row>
    <row r="742" spans="1:17">
      <c r="A742" s="1370"/>
      <c r="B742" s="1373"/>
      <c r="C742" s="991"/>
      <c r="D742" s="973" t="s">
        <v>826</v>
      </c>
      <c r="E742" s="218">
        <v>0</v>
      </c>
      <c r="F742" s="977">
        <v>0</v>
      </c>
      <c r="G742" s="138">
        <v>0</v>
      </c>
      <c r="H742" s="977">
        <v>0</v>
      </c>
      <c r="I742" s="977">
        <v>0</v>
      </c>
      <c r="J742" s="138">
        <v>0</v>
      </c>
      <c r="K742" s="977">
        <v>0</v>
      </c>
      <c r="L742" s="138">
        <v>0</v>
      </c>
      <c r="M742" s="977">
        <v>0</v>
      </c>
      <c r="N742" s="138">
        <v>0</v>
      </c>
      <c r="O742" s="977">
        <v>0</v>
      </c>
      <c r="P742" s="800">
        <v>0</v>
      </c>
      <c r="Q742" s="560"/>
    </row>
    <row r="743" spans="1:17">
      <c r="A743" s="1370"/>
      <c r="B743" s="1373"/>
      <c r="C743" s="865"/>
      <c r="D743" s="854" t="s">
        <v>859</v>
      </c>
      <c r="E743" s="1216">
        <f>E599</f>
        <v>1.6819658333333332</v>
      </c>
      <c r="F743" s="1216">
        <f t="shared" ref="F743:P743" si="88">F599</f>
        <v>2.1324923958333333</v>
      </c>
      <c r="G743" s="1216">
        <f t="shared" si="88"/>
        <v>3.0035104166666664</v>
      </c>
      <c r="H743" s="1216">
        <f t="shared" si="88"/>
        <v>3.6943178125</v>
      </c>
      <c r="I743" s="1216">
        <f t="shared" si="88"/>
        <v>4.3250549999999999</v>
      </c>
      <c r="J743" s="1216">
        <f t="shared" si="88"/>
        <v>4.715511354166666</v>
      </c>
      <c r="K743" s="1216">
        <f t="shared" si="88"/>
        <v>5.2261081249999997</v>
      </c>
      <c r="L743" s="1216">
        <f t="shared" si="88"/>
        <v>4.7455464583333322</v>
      </c>
      <c r="M743" s="1216">
        <f t="shared" si="88"/>
        <v>3.6642827083333334</v>
      </c>
      <c r="N743" s="1216">
        <f t="shared" si="88"/>
        <v>2.6731242708333331</v>
      </c>
      <c r="O743" s="1216">
        <f t="shared" si="88"/>
        <v>1.8621764583333327</v>
      </c>
      <c r="P743" s="1216">
        <f t="shared" si="88"/>
        <v>1.4717201041666668</v>
      </c>
      <c r="Q743" s="560"/>
    </row>
    <row r="744" spans="1:17">
      <c r="A744" s="1370"/>
      <c r="B744" s="1373"/>
      <c r="C744" s="979" t="s">
        <v>19</v>
      </c>
      <c r="D744" s="971" t="s">
        <v>596</v>
      </c>
      <c r="E744" s="977">
        <f>$L$507*$I$296</f>
        <v>4.8916010172367172E-2</v>
      </c>
      <c r="F744" s="977">
        <f>L508*$I$296</f>
        <v>6.2018512897108385E-2</v>
      </c>
      <c r="G744" s="977">
        <f>L509*$I$296</f>
        <v>8.7350018164941395E-2</v>
      </c>
      <c r="H744" s="977">
        <f>L510*$I$296</f>
        <v>0.10744052234287792</v>
      </c>
      <c r="I744" s="977">
        <f>L511*$I$296</f>
        <v>0.1257840261575156</v>
      </c>
      <c r="J744" s="977">
        <f>L512*$I$296</f>
        <v>0.13713952851895797</v>
      </c>
      <c r="K744" s="977">
        <f>L513*$I$296</f>
        <v>0.151989031606998</v>
      </c>
      <c r="L744" s="977">
        <f>L514*$I$296</f>
        <v>0.13801302870060739</v>
      </c>
      <c r="M744" s="977">
        <f>L515*$I$296</f>
        <v>0.1065670221612285</v>
      </c>
      <c r="N744" s="977">
        <f>L516*$I$296</f>
        <v>7.7741516166797836E-2</v>
      </c>
      <c r="O744" s="977">
        <f>L517*$I$296</f>
        <v>5.415701126226366E-2</v>
      </c>
      <c r="P744" s="977">
        <f>L518*$I$296</f>
        <v>4.2801508900821281E-2</v>
      </c>
      <c r="Q744" s="218"/>
    </row>
    <row r="745" spans="1:17">
      <c r="A745" s="1370"/>
      <c r="B745" s="1373"/>
      <c r="C745" s="991"/>
      <c r="D745" s="973" t="s">
        <v>828</v>
      </c>
      <c r="E745" s="218">
        <v>0</v>
      </c>
      <c r="F745" s="977">
        <v>0</v>
      </c>
      <c r="G745" s="138">
        <v>0</v>
      </c>
      <c r="H745" s="977">
        <v>0</v>
      </c>
      <c r="I745" s="977">
        <v>0</v>
      </c>
      <c r="J745" s="138">
        <v>0</v>
      </c>
      <c r="K745" s="977">
        <v>0</v>
      </c>
      <c r="L745" s="138">
        <v>0</v>
      </c>
      <c r="M745" s="977">
        <v>0</v>
      </c>
      <c r="N745" s="138">
        <v>0</v>
      </c>
      <c r="O745" s="977">
        <v>0</v>
      </c>
      <c r="P745" s="800">
        <v>0</v>
      </c>
      <c r="Q745" s="218"/>
    </row>
    <row r="746" spans="1:17">
      <c r="A746" s="1370"/>
      <c r="B746" s="1373"/>
      <c r="C746" s="991"/>
      <c r="D746" s="973" t="s">
        <v>620</v>
      </c>
      <c r="E746" s="218">
        <v>0</v>
      </c>
      <c r="F746" s="977">
        <v>0</v>
      </c>
      <c r="G746" s="138">
        <v>0</v>
      </c>
      <c r="H746" s="977">
        <v>0</v>
      </c>
      <c r="I746" s="977">
        <v>0</v>
      </c>
      <c r="J746" s="138">
        <v>0</v>
      </c>
      <c r="K746" s="977">
        <v>0</v>
      </c>
      <c r="L746" s="138">
        <v>0</v>
      </c>
      <c r="M746" s="977">
        <v>0</v>
      </c>
      <c r="N746" s="138">
        <v>0</v>
      </c>
      <c r="O746" s="977">
        <v>0</v>
      </c>
      <c r="P746" s="800">
        <v>0</v>
      </c>
      <c r="Q746" s="218"/>
    </row>
    <row r="747" spans="1:17">
      <c r="A747" s="1371"/>
      <c r="B747" s="1374"/>
      <c r="C747" s="871"/>
      <c r="D747" s="852" t="s">
        <v>631</v>
      </c>
      <c r="E747" s="1216">
        <f>E603</f>
        <v>1.6819658333333332</v>
      </c>
      <c r="F747" s="1216">
        <f t="shared" ref="F747:P747" si="89">F603</f>
        <v>2.1324923958333333</v>
      </c>
      <c r="G747" s="1216">
        <f t="shared" si="89"/>
        <v>3.0035104166666664</v>
      </c>
      <c r="H747" s="1216">
        <f t="shared" si="89"/>
        <v>3.6943178125</v>
      </c>
      <c r="I747" s="1216">
        <f t="shared" si="89"/>
        <v>4.3250549999999999</v>
      </c>
      <c r="J747" s="1216">
        <f t="shared" si="89"/>
        <v>4.715511354166666</v>
      </c>
      <c r="K747" s="1216">
        <f t="shared" si="89"/>
        <v>5.2261081249999997</v>
      </c>
      <c r="L747" s="1216">
        <f t="shared" si="89"/>
        <v>4.7455464583333322</v>
      </c>
      <c r="M747" s="1216">
        <f t="shared" si="89"/>
        <v>3.6642827083333334</v>
      </c>
      <c r="N747" s="1216">
        <f t="shared" si="89"/>
        <v>2.6731242708333331</v>
      </c>
      <c r="O747" s="1216">
        <f t="shared" si="89"/>
        <v>1.8621764583333327</v>
      </c>
      <c r="P747" s="1216">
        <f t="shared" si="89"/>
        <v>1.4717201041666668</v>
      </c>
      <c r="Q747" s="218"/>
    </row>
    <row r="748" spans="1:17">
      <c r="A748" s="392"/>
      <c r="B748" s="392"/>
      <c r="C748" s="65"/>
      <c r="D748" s="522" t="s">
        <v>647</v>
      </c>
      <c r="E748" s="522">
        <f>SUM(E532:E747)</f>
        <v>367.65147553543392</v>
      </c>
      <c r="F748" s="522">
        <f t="shared" ref="F748:P748" si="90">SUM(F532:F747)</f>
        <v>428.03833491878999</v>
      </c>
      <c r="G748" s="522">
        <f t="shared" si="90"/>
        <v>544.11987814545284</v>
      </c>
      <c r="H748" s="522">
        <f t="shared" si="90"/>
        <v>615.45853339725397</v>
      </c>
      <c r="I748" s="522">
        <f t="shared" si="90"/>
        <v>702.73657430157652</v>
      </c>
      <c r="J748" s="522">
        <f t="shared" si="90"/>
        <v>763.63389839593992</v>
      </c>
      <c r="K748" s="522">
        <f t="shared" si="90"/>
        <v>819.98739114710736</v>
      </c>
      <c r="L748" s="522">
        <f t="shared" si="90"/>
        <v>753.17680691319606</v>
      </c>
      <c r="M748" s="522">
        <f t="shared" si="90"/>
        <v>625.96711232149119</v>
      </c>
      <c r="N748" s="522">
        <f t="shared" si="90"/>
        <v>514.3082206886553</v>
      </c>
      <c r="O748" s="522">
        <f t="shared" si="90"/>
        <v>395.837447319707</v>
      </c>
      <c r="P748" s="522">
        <f t="shared" si="90"/>
        <v>328.75187426681913</v>
      </c>
      <c r="Q748" s="218"/>
    </row>
    <row r="749" spans="1:17">
      <c r="A749" s="392"/>
      <c r="B749" s="392"/>
      <c r="C749" s="65"/>
      <c r="D749" s="145"/>
      <c r="E749" s="92" t="s">
        <v>646</v>
      </c>
      <c r="F749" s="92" t="s">
        <v>646</v>
      </c>
      <c r="G749" s="92" t="s">
        <v>646</v>
      </c>
      <c r="H749" s="92" t="s">
        <v>646</v>
      </c>
      <c r="I749" s="92" t="s">
        <v>646</v>
      </c>
      <c r="J749" s="92" t="s">
        <v>646</v>
      </c>
      <c r="K749" s="92" t="s">
        <v>646</v>
      </c>
      <c r="L749" s="92" t="s">
        <v>646</v>
      </c>
      <c r="M749" s="92" t="s">
        <v>646</v>
      </c>
      <c r="N749" s="92" t="s">
        <v>646</v>
      </c>
      <c r="O749" s="92" t="s">
        <v>646</v>
      </c>
      <c r="P749" s="92" t="s">
        <v>646</v>
      </c>
      <c r="Q749" s="218"/>
    </row>
    <row r="750" spans="1:17">
      <c r="A750" s="392"/>
      <c r="B750" s="392"/>
      <c r="C750" s="65"/>
      <c r="D750" s="145"/>
      <c r="E750" s="996" t="s">
        <v>204</v>
      </c>
      <c r="F750" s="996" t="s">
        <v>205</v>
      </c>
      <c r="G750" s="996" t="s">
        <v>206</v>
      </c>
      <c r="H750" s="996" t="s">
        <v>207</v>
      </c>
      <c r="I750" s="996" t="s">
        <v>208</v>
      </c>
      <c r="J750" s="996" t="s">
        <v>209</v>
      </c>
      <c r="K750" s="996" t="s">
        <v>210</v>
      </c>
      <c r="L750" s="996" t="s">
        <v>211</v>
      </c>
      <c r="M750" s="996" t="s">
        <v>212</v>
      </c>
      <c r="N750" s="996" t="s">
        <v>213</v>
      </c>
      <c r="O750" s="996" t="s">
        <v>214</v>
      </c>
      <c r="P750" s="996" t="s">
        <v>215</v>
      </c>
      <c r="Q750" s="218"/>
    </row>
    <row r="751" spans="1:17">
      <c r="A751" s="392"/>
      <c r="B751" s="392"/>
      <c r="C751" s="521"/>
      <c r="D751" s="145"/>
      <c r="E751" s="997"/>
      <c r="F751" s="997"/>
      <c r="G751" s="997"/>
      <c r="H751" s="997"/>
      <c r="I751" s="997"/>
      <c r="J751" s="997"/>
      <c r="K751" s="997"/>
      <c r="L751" s="997"/>
      <c r="M751" s="997"/>
      <c r="N751" s="997"/>
      <c r="O751" s="997"/>
      <c r="P751" s="997"/>
      <c r="Q751" s="159"/>
    </row>
    <row r="752" spans="1:17" ht="15" customHeight="1">
      <c r="A752" s="392"/>
      <c r="B752" s="392"/>
      <c r="C752" s="521"/>
      <c r="D752" s="145"/>
      <c r="E752" s="484"/>
      <c r="F752" s="484"/>
      <c r="G752" s="484"/>
      <c r="H752" s="484"/>
      <c r="I752" s="484"/>
      <c r="J752" s="484"/>
      <c r="K752" s="484"/>
      <c r="L752" s="484"/>
      <c r="M752" s="484"/>
      <c r="N752" s="484"/>
      <c r="O752" s="484"/>
      <c r="P752" s="484"/>
      <c r="Q752" s="159"/>
    </row>
    <row r="753" spans="1:17">
      <c r="A753" s="392"/>
      <c r="B753" s="392"/>
      <c r="C753" s="65"/>
      <c r="D753" s="145"/>
      <c r="E753" s="145"/>
      <c r="F753" s="145"/>
      <c r="G753" s="145"/>
      <c r="H753" s="145"/>
      <c r="I753" s="145"/>
      <c r="J753" s="145"/>
      <c r="K753" s="145"/>
      <c r="L753" s="145"/>
      <c r="M753" s="145"/>
      <c r="N753" s="145"/>
      <c r="O753" s="145"/>
      <c r="P753" s="145"/>
      <c r="Q753" s="159"/>
    </row>
    <row r="754" spans="1:17">
      <c r="A754" s="392"/>
      <c r="B754" s="392"/>
      <c r="C754" s="65"/>
      <c r="D754" s="145"/>
      <c r="E754" s="145"/>
      <c r="F754" s="145"/>
      <c r="G754" s="145"/>
      <c r="H754" s="145"/>
      <c r="I754" s="145"/>
      <c r="J754" s="145"/>
      <c r="K754" s="145"/>
      <c r="L754" s="145"/>
      <c r="M754" s="145"/>
      <c r="N754" s="145"/>
      <c r="O754" s="145"/>
      <c r="P754" s="145"/>
      <c r="Q754" s="159"/>
    </row>
    <row r="755" spans="1:17" ht="60">
      <c r="A755" s="392"/>
      <c r="B755" s="392"/>
      <c r="C755" s="65"/>
      <c r="D755" s="145"/>
      <c r="E755" s="145"/>
      <c r="F755" s="145"/>
      <c r="G755" s="145"/>
      <c r="H755" s="1003" t="s">
        <v>331</v>
      </c>
      <c r="I755" s="1086" t="str">
        <f>K501</f>
        <v>LOCALITA' CONSIDERATA: CAGLIARI</v>
      </c>
      <c r="J755" s="1010"/>
      <c r="K755" s="1010"/>
      <c r="L755" s="1010"/>
      <c r="M755" s="1010"/>
      <c r="N755" s="1020"/>
      <c r="O755" s="145"/>
      <c r="P755" s="145"/>
      <c r="Q755" s="159"/>
    </row>
    <row r="756" spans="1:17">
      <c r="A756" s="392"/>
      <c r="B756" s="392"/>
      <c r="C756" s="65"/>
      <c r="D756" s="145"/>
      <c r="E756" s="145"/>
      <c r="F756" s="145"/>
      <c r="G756" s="145"/>
      <c r="H756" s="1004"/>
      <c r="I756" s="1009" t="s">
        <v>326</v>
      </c>
      <c r="J756" s="1009"/>
      <c r="K756" s="516">
        <f>M502</f>
        <v>39.130000000000003</v>
      </c>
      <c r="L756" s="1083"/>
      <c r="M756" s="1083"/>
      <c r="N756" s="1084"/>
      <c r="O756" s="159"/>
      <c r="P756" s="145"/>
      <c r="Q756" s="159"/>
    </row>
    <row r="757" spans="1:17">
      <c r="A757" s="392"/>
      <c r="B757" s="392"/>
      <c r="C757" s="65"/>
      <c r="D757" s="145"/>
      <c r="E757" s="145"/>
      <c r="F757" s="145"/>
      <c r="G757" s="145"/>
      <c r="H757" s="1004"/>
      <c r="I757" s="1009" t="s">
        <v>327</v>
      </c>
      <c r="J757" s="1009"/>
      <c r="K757" s="516">
        <f>M503</f>
        <v>9.07</v>
      </c>
      <c r="L757" s="1085"/>
      <c r="M757" s="1083"/>
      <c r="N757" s="1084"/>
      <c r="O757" s="159"/>
      <c r="P757" s="145"/>
      <c r="Q757" s="159"/>
    </row>
    <row r="758" spans="1:17" ht="15" customHeight="1">
      <c r="A758" s="392"/>
      <c r="B758" s="392"/>
      <c r="C758" s="65"/>
      <c r="D758" s="145"/>
      <c r="E758" s="145"/>
      <c r="F758" s="145"/>
      <c r="G758" s="145"/>
      <c r="H758" s="1004"/>
      <c r="I758" s="520" t="s">
        <v>200</v>
      </c>
      <c r="J758" s="98" t="s">
        <v>328</v>
      </c>
      <c r="K758" s="98" t="s">
        <v>203</v>
      </c>
      <c r="L758" s="98" t="s">
        <v>878</v>
      </c>
      <c r="M758" s="98" t="s">
        <v>879</v>
      </c>
      <c r="N758" s="1694" t="s">
        <v>882</v>
      </c>
      <c r="O758" s="159"/>
      <c r="P758" s="145"/>
      <c r="Q758" s="159"/>
    </row>
    <row r="759" spans="1:17" ht="16">
      <c r="A759" s="392"/>
      <c r="B759" s="392"/>
      <c r="C759" s="65"/>
      <c r="D759" s="145"/>
      <c r="E759" s="145"/>
      <c r="F759" s="145"/>
      <c r="G759" s="145"/>
      <c r="H759" s="1004"/>
      <c r="I759" s="88" t="s">
        <v>329</v>
      </c>
      <c r="J759" s="89" t="s">
        <v>329</v>
      </c>
      <c r="K759" s="89" t="s">
        <v>329</v>
      </c>
      <c r="L759" s="89" t="s">
        <v>329</v>
      </c>
      <c r="M759" s="89" t="s">
        <v>329</v>
      </c>
      <c r="N759" s="1695"/>
      <c r="O759" s="145"/>
      <c r="P759" s="145"/>
      <c r="Q759" s="159"/>
    </row>
    <row r="760" spans="1:17">
      <c r="A760" s="392"/>
      <c r="B760" s="392"/>
      <c r="C760" s="65"/>
      <c r="D760" s="145"/>
      <c r="E760" s="145"/>
      <c r="F760" s="145"/>
      <c r="G760" s="145"/>
      <c r="H760" s="1005"/>
      <c r="I760" s="91" t="s">
        <v>645</v>
      </c>
      <c r="J760" s="92" t="s">
        <v>645</v>
      </c>
      <c r="K760" s="92" t="s">
        <v>645</v>
      </c>
      <c r="L760" s="92" t="s">
        <v>645</v>
      </c>
      <c r="M760" s="92" t="s">
        <v>645</v>
      </c>
      <c r="N760" s="1696"/>
      <c r="O760" s="145"/>
      <c r="P760" s="145"/>
      <c r="Q760" s="159"/>
    </row>
    <row r="761" spans="1:17">
      <c r="A761" s="392"/>
      <c r="B761" s="392"/>
      <c r="C761" s="65"/>
      <c r="D761" s="145"/>
      <c r="E761" s="145"/>
      <c r="F761" s="145"/>
      <c r="G761" s="145"/>
      <c r="H761" s="1001" t="s">
        <v>204</v>
      </c>
      <c r="I761" s="503">
        <f>K507</f>
        <v>3.1944444444444442</v>
      </c>
      <c r="J761" s="503">
        <f>L507</f>
        <v>1.5555555555555554</v>
      </c>
      <c r="K761" s="503">
        <f>M507</f>
        <v>0.63888888888888884</v>
      </c>
      <c r="L761" s="503">
        <f t="shared" ref="L761:M761" si="91">N507</f>
        <v>2.5555555555555554</v>
      </c>
      <c r="M761" s="503">
        <f t="shared" si="91"/>
        <v>0.75</v>
      </c>
      <c r="N761" s="320">
        <f>AVERAGE(I761:M761)</f>
        <v>1.7388888888888889</v>
      </c>
      <c r="O761" s="145"/>
      <c r="P761" s="145"/>
      <c r="Q761" s="159"/>
    </row>
    <row r="762" spans="1:17" ht="14.5" customHeight="1">
      <c r="A762" s="392"/>
      <c r="B762" s="392"/>
      <c r="C762" s="65"/>
      <c r="D762" s="145"/>
      <c r="E762" s="145"/>
      <c r="F762" s="145"/>
      <c r="G762" s="145"/>
      <c r="H762" s="1001" t="s">
        <v>205</v>
      </c>
      <c r="I762" s="503">
        <f t="shared" ref="I762:I772" si="92">K508</f>
        <v>3.2777777777777777</v>
      </c>
      <c r="J762" s="503">
        <f t="shared" ref="J762:J772" si="93">L508</f>
        <v>1.9722222222222221</v>
      </c>
      <c r="K762" s="503">
        <f t="shared" ref="K762:K772" si="94">M508</f>
        <v>0.86111111111111105</v>
      </c>
      <c r="L762" s="503">
        <f t="shared" ref="L762:L772" si="95">N508</f>
        <v>2.8055555555555554</v>
      </c>
      <c r="M762" s="503">
        <f t="shared" ref="M762:M772" si="96">O508</f>
        <v>1.0833333333333333</v>
      </c>
      <c r="N762" s="320">
        <f t="shared" ref="N762:N772" si="97">AVERAGE(I762:M762)</f>
        <v>2</v>
      </c>
      <c r="O762" s="145"/>
      <c r="P762" s="145"/>
      <c r="Q762" s="159"/>
    </row>
    <row r="763" spans="1:17">
      <c r="A763" s="392"/>
      <c r="B763" s="392"/>
      <c r="C763" s="65"/>
      <c r="D763" s="145"/>
      <c r="E763" s="145"/>
      <c r="F763" s="145"/>
      <c r="G763" s="145"/>
      <c r="H763" s="1001" t="s">
        <v>206</v>
      </c>
      <c r="I763" s="503">
        <f t="shared" si="92"/>
        <v>3.4722222222222223</v>
      </c>
      <c r="J763" s="503">
        <f t="shared" si="93"/>
        <v>2.7777777777777777</v>
      </c>
      <c r="K763" s="503">
        <f t="shared" si="94"/>
        <v>1.1666666666666667</v>
      </c>
      <c r="L763" s="503">
        <f t="shared" si="95"/>
        <v>3.3611111111111107</v>
      </c>
      <c r="M763" s="503">
        <f t="shared" si="96"/>
        <v>1.75</v>
      </c>
      <c r="N763" s="320">
        <f t="shared" si="97"/>
        <v>2.5055555555555555</v>
      </c>
      <c r="O763" s="145"/>
      <c r="P763" s="145"/>
      <c r="Q763" s="159"/>
    </row>
    <row r="764" spans="1:17">
      <c r="A764" s="392"/>
      <c r="B764" s="392"/>
      <c r="C764" s="65"/>
      <c r="D764" s="145"/>
      <c r="E764" s="145"/>
      <c r="F764" s="145"/>
      <c r="G764" s="145"/>
      <c r="H764" s="1001" t="s">
        <v>207</v>
      </c>
      <c r="I764" s="503">
        <f t="shared" si="92"/>
        <v>2.9722222222222223</v>
      </c>
      <c r="J764" s="503">
        <f t="shared" si="93"/>
        <v>3.416666666666667</v>
      </c>
      <c r="K764" s="503">
        <f t="shared" si="94"/>
        <v>1.5833333333333333</v>
      </c>
      <c r="L764" s="503">
        <f t="shared" si="95"/>
        <v>3.4722222222222223</v>
      </c>
      <c r="M764" s="503">
        <f t="shared" si="96"/>
        <v>2.5</v>
      </c>
      <c r="N764" s="320">
        <f t="shared" si="97"/>
        <v>2.7888888888888888</v>
      </c>
      <c r="O764" s="145"/>
      <c r="P764" s="145"/>
      <c r="Q764" s="159"/>
    </row>
    <row r="765" spans="1:17">
      <c r="A765" s="392"/>
      <c r="B765" s="392"/>
      <c r="C765" s="65"/>
      <c r="D765" s="294"/>
      <c r="E765" s="145"/>
      <c r="F765" s="145"/>
      <c r="G765" s="145"/>
      <c r="H765" s="1001" t="s">
        <v>208</v>
      </c>
      <c r="I765" s="503">
        <f t="shared" si="92"/>
        <v>2.6666666666666665</v>
      </c>
      <c r="J765" s="503">
        <f t="shared" si="93"/>
        <v>4</v>
      </c>
      <c r="K765" s="503">
        <f t="shared" si="94"/>
        <v>2.25</v>
      </c>
      <c r="L765" s="503">
        <f t="shared" si="95"/>
        <v>3.5555555555555558</v>
      </c>
      <c r="M765" s="503">
        <f t="shared" si="96"/>
        <v>3.2499999999999996</v>
      </c>
      <c r="N765" s="320">
        <f t="shared" si="97"/>
        <v>3.1444444444444444</v>
      </c>
      <c r="O765" s="145"/>
      <c r="P765" s="145"/>
      <c r="Q765" s="159"/>
    </row>
    <row r="766" spans="1:17">
      <c r="A766" s="392"/>
      <c r="B766" s="392"/>
      <c r="C766" s="65"/>
      <c r="D766" s="294"/>
      <c r="E766" s="145"/>
      <c r="F766" s="145"/>
      <c r="G766" s="145"/>
      <c r="H766" s="1001" t="s">
        <v>209</v>
      </c>
      <c r="I766" s="503">
        <f t="shared" si="92"/>
        <v>2.5555555555555554</v>
      </c>
      <c r="J766" s="503">
        <f t="shared" si="93"/>
        <v>4.3611111111111107</v>
      </c>
      <c r="K766" s="503">
        <f t="shared" si="94"/>
        <v>2.7222222222222223</v>
      </c>
      <c r="L766" s="503">
        <f t="shared" si="95"/>
        <v>3.6111111111111107</v>
      </c>
      <c r="M766" s="503">
        <f t="shared" si="96"/>
        <v>3.7222222222222223</v>
      </c>
      <c r="N766" s="320">
        <f t="shared" si="97"/>
        <v>3.3944444444444444</v>
      </c>
      <c r="O766" s="145"/>
      <c r="P766" s="145"/>
      <c r="Q766" s="159"/>
    </row>
    <row r="767" spans="1:17">
      <c r="A767" s="392"/>
      <c r="B767" s="392"/>
      <c r="C767" s="65"/>
      <c r="D767" s="294"/>
      <c r="E767" s="145"/>
      <c r="F767" s="145"/>
      <c r="G767" s="145"/>
      <c r="H767" s="1001" t="s">
        <v>210</v>
      </c>
      <c r="I767" s="503">
        <f t="shared" si="92"/>
        <v>2.7777777777777777</v>
      </c>
      <c r="J767" s="503">
        <f t="shared" si="93"/>
        <v>4.833333333333333</v>
      </c>
      <c r="K767" s="503">
        <f t="shared" si="94"/>
        <v>2.6388888888888888</v>
      </c>
      <c r="L767" s="503">
        <f t="shared" si="95"/>
        <v>4.0555555555555554</v>
      </c>
      <c r="M767" s="503">
        <f t="shared" si="96"/>
        <v>3.9444444444444442</v>
      </c>
      <c r="N767" s="320">
        <f t="shared" si="97"/>
        <v>3.65</v>
      </c>
      <c r="O767" s="145"/>
      <c r="P767" s="145"/>
      <c r="Q767" s="159"/>
    </row>
    <row r="768" spans="1:17" ht="15" customHeight="1">
      <c r="A768" s="392"/>
      <c r="B768" s="392"/>
      <c r="C768" s="65"/>
      <c r="D768" s="294"/>
      <c r="E768" s="145"/>
      <c r="F768" s="145"/>
      <c r="G768" s="145"/>
      <c r="H768" s="1001" t="s">
        <v>211</v>
      </c>
      <c r="I768" s="503">
        <f t="shared" si="92"/>
        <v>3.2777777777777777</v>
      </c>
      <c r="J768" s="503">
        <f t="shared" si="93"/>
        <v>4.3888888888888884</v>
      </c>
      <c r="K768" s="503">
        <f t="shared" si="94"/>
        <v>1.8888888888888886</v>
      </c>
      <c r="L768" s="503">
        <f t="shared" si="95"/>
        <v>4.1944444444444446</v>
      </c>
      <c r="M768" s="503">
        <f t="shared" si="96"/>
        <v>3.2222222222222223</v>
      </c>
      <c r="N768" s="320">
        <f t="shared" si="97"/>
        <v>3.3944444444444444</v>
      </c>
      <c r="O768" s="145"/>
      <c r="P768" s="145"/>
      <c r="Q768" s="159"/>
    </row>
    <row r="769" spans="1:17">
      <c r="A769" s="392"/>
      <c r="B769" s="392"/>
      <c r="C769" s="65"/>
      <c r="D769" s="294"/>
      <c r="E769" s="145"/>
      <c r="F769" s="145"/>
      <c r="G769" s="145"/>
      <c r="H769" s="1001" t="s">
        <v>212</v>
      </c>
      <c r="I769" s="503">
        <f t="shared" si="92"/>
        <v>3.6666666666666665</v>
      </c>
      <c r="J769" s="503">
        <f t="shared" si="93"/>
        <v>3.3888888888888888</v>
      </c>
      <c r="K769" s="503">
        <f t="shared" si="94"/>
        <v>1.2777777777777777</v>
      </c>
      <c r="L769" s="503">
        <f t="shared" si="95"/>
        <v>3.8333333333333335</v>
      </c>
      <c r="M769" s="503">
        <f t="shared" si="96"/>
        <v>2.1666666666666665</v>
      </c>
      <c r="N769" s="320">
        <f t="shared" si="97"/>
        <v>2.8666666666666663</v>
      </c>
      <c r="O769" s="145"/>
      <c r="P769" s="145"/>
      <c r="Q769" s="159"/>
    </row>
    <row r="770" spans="1:17">
      <c r="A770" s="392"/>
      <c r="B770" s="392"/>
      <c r="C770" s="65"/>
      <c r="D770" s="294"/>
      <c r="E770" s="145"/>
      <c r="F770" s="145"/>
      <c r="G770" s="145"/>
      <c r="H770" s="1001" t="s">
        <v>213</v>
      </c>
      <c r="I770" s="503">
        <f t="shared" si="92"/>
        <v>3.8055555555555554</v>
      </c>
      <c r="J770" s="503">
        <f t="shared" si="93"/>
        <v>2.4722222222222223</v>
      </c>
      <c r="K770" s="503">
        <f t="shared" si="94"/>
        <v>0.97222222222222221</v>
      </c>
      <c r="L770" s="503">
        <f t="shared" si="95"/>
        <v>3.3611111111111107</v>
      </c>
      <c r="M770" s="503">
        <f t="shared" si="96"/>
        <v>1.3611111111111112</v>
      </c>
      <c r="N770" s="320">
        <f t="shared" si="97"/>
        <v>2.3944444444444444</v>
      </c>
      <c r="O770" s="145"/>
      <c r="P770" s="145"/>
      <c r="Q770" s="159"/>
    </row>
    <row r="771" spans="1:17">
      <c r="A771" s="392"/>
      <c r="B771" s="392"/>
      <c r="C771" s="65"/>
      <c r="D771" s="294"/>
      <c r="E771" s="145"/>
      <c r="F771" s="145"/>
      <c r="G771" s="145"/>
      <c r="H771" s="1001" t="s">
        <v>214</v>
      </c>
      <c r="I771" s="503">
        <f t="shared" si="92"/>
        <v>3.3611111111111107</v>
      </c>
      <c r="J771" s="503">
        <f t="shared" si="93"/>
        <v>1.7222222222222221</v>
      </c>
      <c r="K771" s="503">
        <f t="shared" si="94"/>
        <v>0.69444444444444442</v>
      </c>
      <c r="L771" s="503">
        <f t="shared" si="95"/>
        <v>2.7222222222222223</v>
      </c>
      <c r="M771" s="503">
        <f t="shared" si="96"/>
        <v>0.83333333333333326</v>
      </c>
      <c r="N771" s="320">
        <f t="shared" si="97"/>
        <v>1.8666666666666667</v>
      </c>
      <c r="O771" s="145"/>
      <c r="P771" s="145"/>
      <c r="Q771" s="159"/>
    </row>
    <row r="772" spans="1:17">
      <c r="A772" s="392"/>
      <c r="B772" s="392"/>
      <c r="C772" s="65"/>
      <c r="D772" s="294"/>
      <c r="E772" s="145"/>
      <c r="F772" s="145"/>
      <c r="G772" s="145"/>
      <c r="H772" s="1001" t="s">
        <v>215</v>
      </c>
      <c r="I772" s="503">
        <f t="shared" si="92"/>
        <v>2.8888888888888893</v>
      </c>
      <c r="J772" s="503">
        <f t="shared" si="93"/>
        <v>1.3611111111111112</v>
      </c>
      <c r="K772" s="503">
        <f t="shared" si="94"/>
        <v>0.58333333333333337</v>
      </c>
      <c r="L772" s="503">
        <f t="shared" si="95"/>
        <v>2.2777777777777772</v>
      </c>
      <c r="M772" s="503">
        <f t="shared" si="96"/>
        <v>0.66666666666666663</v>
      </c>
      <c r="N772" s="320">
        <f t="shared" si="97"/>
        <v>1.5555555555555556</v>
      </c>
      <c r="O772" s="145"/>
      <c r="P772" s="145"/>
      <c r="Q772" s="159"/>
    </row>
    <row r="773" spans="1:17">
      <c r="A773" s="392"/>
      <c r="B773" s="392"/>
      <c r="C773" s="65"/>
      <c r="D773" s="294"/>
      <c r="E773" s="145"/>
      <c r="F773" s="145"/>
      <c r="G773" s="145"/>
      <c r="H773" s="145"/>
      <c r="I773" s="145"/>
      <c r="J773" s="145"/>
      <c r="K773" s="145"/>
      <c r="L773" s="145"/>
      <c r="M773" s="145"/>
      <c r="N773" s="145"/>
      <c r="O773" s="145"/>
      <c r="P773" s="145"/>
      <c r="Q773" s="159"/>
    </row>
    <row r="774" spans="1:17">
      <c r="A774" s="392"/>
      <c r="B774" s="392"/>
      <c r="C774" s="65"/>
      <c r="D774" s="294"/>
      <c r="E774" s="145"/>
      <c r="F774" s="145"/>
      <c r="G774" s="145"/>
      <c r="H774" s="145"/>
      <c r="I774" s="145"/>
      <c r="J774" s="145"/>
      <c r="K774" s="145"/>
      <c r="L774" s="145"/>
      <c r="M774" s="145"/>
      <c r="N774" s="145"/>
      <c r="O774" s="145"/>
      <c r="P774" s="145"/>
      <c r="Q774" s="159"/>
    </row>
    <row r="775" spans="1:17">
      <c r="A775" s="392"/>
      <c r="B775" s="392"/>
      <c r="C775" s="65"/>
      <c r="D775" s="294"/>
      <c r="E775" s="996" t="s">
        <v>204</v>
      </c>
      <c r="F775" s="996" t="s">
        <v>205</v>
      </c>
      <c r="G775" s="996" t="s">
        <v>206</v>
      </c>
      <c r="H775" s="996" t="s">
        <v>207</v>
      </c>
      <c r="I775" s="996" t="s">
        <v>208</v>
      </c>
      <c r="J775" s="996" t="s">
        <v>209</v>
      </c>
      <c r="K775" s="996" t="s">
        <v>210</v>
      </c>
      <c r="L775" s="996" t="s">
        <v>211</v>
      </c>
      <c r="M775" s="996" t="s">
        <v>212</v>
      </c>
      <c r="N775" s="996" t="s">
        <v>213</v>
      </c>
      <c r="O775" s="996" t="s">
        <v>214</v>
      </c>
      <c r="P775" s="996" t="s">
        <v>215</v>
      </c>
      <c r="Q775" s="159"/>
    </row>
    <row r="776" spans="1:17">
      <c r="A776" s="392"/>
      <c r="B776" s="392"/>
      <c r="C776" s="65"/>
      <c r="D776" s="294"/>
      <c r="E776" s="997"/>
      <c r="F776" s="997"/>
      <c r="G776" s="997"/>
      <c r="H776" s="997"/>
      <c r="I776" s="997"/>
      <c r="J776" s="997"/>
      <c r="K776" s="997"/>
      <c r="L776" s="997"/>
      <c r="M776" s="997"/>
      <c r="N776" s="997"/>
      <c r="O776" s="997"/>
      <c r="P776" s="997"/>
      <c r="Q776" s="159"/>
    </row>
    <row r="777" spans="1:17">
      <c r="A777" s="392"/>
      <c r="B777" s="392"/>
      <c r="C777" s="65"/>
      <c r="D777" s="294"/>
      <c r="E777" s="92" t="s">
        <v>646</v>
      </c>
      <c r="F777" s="92" t="s">
        <v>646</v>
      </c>
      <c r="G777" s="92" t="s">
        <v>646</v>
      </c>
      <c r="H777" s="92" t="s">
        <v>646</v>
      </c>
      <c r="I777" s="92" t="s">
        <v>646</v>
      </c>
      <c r="J777" s="92" t="s">
        <v>646</v>
      </c>
      <c r="K777" s="92" t="s">
        <v>646</v>
      </c>
      <c r="L777" s="92" t="s">
        <v>646</v>
      </c>
      <c r="M777" s="92" t="s">
        <v>646</v>
      </c>
      <c r="N777" s="92" t="s">
        <v>646</v>
      </c>
      <c r="O777" s="92" t="s">
        <v>646</v>
      </c>
      <c r="P777" s="92" t="s">
        <v>646</v>
      </c>
      <c r="Q777" s="159"/>
    </row>
    <row r="778" spans="1:17">
      <c r="A778" s="523"/>
      <c r="B778" s="523"/>
      <c r="C778" s="1011" t="s">
        <v>38</v>
      </c>
      <c r="D778" s="1012"/>
      <c r="E778" s="1017">
        <f>$N$761*'1.Dati'!$Q$9</f>
        <v>621.1484999999999</v>
      </c>
      <c r="F778" s="1017">
        <f>$N$762*'1.Dati'!$Q$9</f>
        <v>714.41999999999985</v>
      </c>
      <c r="G778" s="1017">
        <f>$N$763*'1.Dati'!$Q$9</f>
        <v>895.00949999999978</v>
      </c>
      <c r="H778" s="1017">
        <f>$N$764*'1.Dati'!$Q$9</f>
        <v>996.21899999999971</v>
      </c>
      <c r="I778" s="1017">
        <f>$N$765*'1.Dati'!$Q$9</f>
        <v>1123.2269999999996</v>
      </c>
      <c r="J778" s="1017">
        <f>$N$766*'1.Dati'!$Q$9</f>
        <v>1212.5294999999996</v>
      </c>
      <c r="K778" s="1017">
        <f>$N$767*'1.Dati'!$Q$9</f>
        <v>1303.8164999999997</v>
      </c>
      <c r="L778" s="1017">
        <f>$N$768*'1.Dati'!$Q$9</f>
        <v>1212.5294999999996</v>
      </c>
      <c r="M778" s="1017">
        <f>$N$769*'1.Dati'!$Q$9</f>
        <v>1024.0019999999997</v>
      </c>
      <c r="N778" s="1017">
        <f>$N$770*'1.Dati'!$Q$9</f>
        <v>855.31949999999983</v>
      </c>
      <c r="O778" s="1017">
        <f>$N$771*'1.Dati'!$Q$9</f>
        <v>666.79199999999992</v>
      </c>
      <c r="P778" s="1017">
        <f>$N$772*'1.Dati'!$Q$9</f>
        <v>555.65999999999985</v>
      </c>
      <c r="Q778" s="159"/>
    </row>
    <row r="779" spans="1:17">
      <c r="A779" s="392"/>
      <c r="B779" s="392"/>
      <c r="C779" s="1013"/>
      <c r="D779" s="1014"/>
      <c r="E779" s="1018"/>
      <c r="F779" s="1018"/>
      <c r="G779" s="1018"/>
      <c r="H779" s="1018"/>
      <c r="I779" s="1018"/>
      <c r="J779" s="1018"/>
      <c r="K779" s="1018"/>
      <c r="L779" s="1018"/>
      <c r="M779" s="1018"/>
      <c r="N779" s="1018"/>
      <c r="O779" s="1018"/>
      <c r="P779" s="1018"/>
      <c r="Q779" s="560"/>
    </row>
    <row r="780" spans="1:17">
      <c r="A780" s="560"/>
      <c r="C780" s="1013"/>
      <c r="D780" s="1014"/>
      <c r="E780" s="1018"/>
      <c r="F780" s="1018"/>
      <c r="G780" s="1018"/>
      <c r="H780" s="1018"/>
      <c r="I780" s="1018"/>
      <c r="J780" s="1018"/>
      <c r="K780" s="1018"/>
      <c r="L780" s="1018"/>
      <c r="M780" s="1018"/>
      <c r="N780" s="1018"/>
      <c r="O780" s="1018"/>
      <c r="P780" s="1018"/>
      <c r="Q780" s="560"/>
    </row>
    <row r="781" spans="1:17">
      <c r="A781" s="560"/>
      <c r="C781" s="1013"/>
      <c r="D781" s="1014"/>
      <c r="E781" s="1018"/>
      <c r="F781" s="1018"/>
      <c r="G781" s="1018"/>
      <c r="H781" s="1018"/>
      <c r="I781" s="1018"/>
      <c r="J781" s="1018"/>
      <c r="K781" s="1018"/>
      <c r="L781" s="1018"/>
      <c r="M781" s="1018"/>
      <c r="N781" s="1018"/>
      <c r="O781" s="1018"/>
      <c r="P781" s="1018"/>
      <c r="Q781" s="560"/>
    </row>
    <row r="782" spans="1:17">
      <c r="A782" s="560"/>
      <c r="C782" s="1015"/>
      <c r="D782" s="1016"/>
      <c r="E782" s="1019"/>
      <c r="F782" s="1019"/>
      <c r="G782" s="1019"/>
      <c r="H782" s="1019"/>
      <c r="I782" s="1019"/>
      <c r="J782" s="1019"/>
      <c r="K782" s="1019"/>
      <c r="L782" s="1019"/>
      <c r="M782" s="1019"/>
      <c r="N782" s="1019"/>
      <c r="O782" s="1019"/>
      <c r="P782" s="1019"/>
      <c r="Q782" s="560"/>
    </row>
    <row r="783" spans="1:17">
      <c r="A783" s="560"/>
      <c r="C783" s="560"/>
      <c r="D783" s="560"/>
      <c r="E783" s="560"/>
      <c r="F783" s="560"/>
      <c r="G783" s="560"/>
      <c r="H783" s="560"/>
      <c r="I783" s="560"/>
      <c r="J783" s="560"/>
      <c r="K783" s="560"/>
      <c r="L783" s="560"/>
      <c r="M783" s="560"/>
      <c r="N783" s="560"/>
      <c r="O783" s="560"/>
      <c r="P783" s="560"/>
      <c r="Q783" s="560"/>
    </row>
    <row r="784" spans="1:17">
      <c r="A784" s="560"/>
      <c r="C784" s="560"/>
      <c r="D784" s="560"/>
      <c r="E784" s="560"/>
      <c r="F784" s="560"/>
      <c r="G784" s="560"/>
      <c r="H784" s="560"/>
      <c r="I784" s="560"/>
      <c r="J784" s="560"/>
      <c r="K784" s="560"/>
      <c r="L784" s="560"/>
      <c r="M784" s="560"/>
      <c r="N784" s="560"/>
      <c r="O784" s="560"/>
      <c r="P784" s="560"/>
      <c r="Q784" s="560"/>
    </row>
    <row r="785" spans="1:17">
      <c r="A785" s="560"/>
      <c r="C785" s="560"/>
      <c r="D785" s="560"/>
      <c r="E785" s="560"/>
      <c r="F785" s="560"/>
      <c r="G785" s="560"/>
      <c r="H785" s="560"/>
      <c r="I785" s="560"/>
      <c r="J785" s="560"/>
      <c r="K785" s="560"/>
      <c r="L785" s="560"/>
      <c r="M785" s="560"/>
      <c r="N785" s="560"/>
      <c r="O785" s="560"/>
      <c r="P785" s="560"/>
      <c r="Q785" s="560"/>
    </row>
    <row r="786" spans="1:17">
      <c r="A786" s="992" t="s">
        <v>0</v>
      </c>
      <c r="B786" s="881"/>
      <c r="C786" s="960" t="s">
        <v>566</v>
      </c>
      <c r="D786" s="961"/>
      <c r="E786" s="961"/>
      <c r="F786" s="962"/>
      <c r="G786" s="982"/>
      <c r="H786" s="960" t="s">
        <v>567</v>
      </c>
      <c r="I786" s="961"/>
      <c r="J786" s="961"/>
      <c r="K786" s="961"/>
      <c r="L786" s="962"/>
      <c r="M786" s="951" t="s">
        <v>5</v>
      </c>
      <c r="N786" s="952"/>
      <c r="O786" s="951" t="s">
        <v>6</v>
      </c>
      <c r="P786" s="952"/>
      <c r="Q786" s="560"/>
    </row>
    <row r="787" spans="1:17" ht="15" customHeight="1">
      <c r="A787" s="47">
        <v>7</v>
      </c>
      <c r="B787" s="882"/>
      <c r="C787" s="985" t="s">
        <v>550</v>
      </c>
      <c r="D787" s="986"/>
      <c r="E787" s="986"/>
      <c r="F787" s="987"/>
      <c r="G787" s="983"/>
      <c r="H787" s="965" t="s">
        <v>568</v>
      </c>
      <c r="I787" s="966"/>
      <c r="J787" s="966"/>
      <c r="K787" s="966"/>
      <c r="L787" s="967"/>
      <c r="M787" s="958">
        <f>'1.Dati'!L2:M2</f>
        <v>0</v>
      </c>
      <c r="N787" s="959"/>
      <c r="O787" s="958" t="str">
        <f>O525</f>
        <v>X</v>
      </c>
      <c r="P787" s="959"/>
      <c r="Q787" s="560"/>
    </row>
    <row r="788" spans="1:17" ht="45">
      <c r="A788" s="48" t="s">
        <v>70</v>
      </c>
      <c r="B788" s="883"/>
      <c r="C788" s="988" t="s">
        <v>551</v>
      </c>
      <c r="D788" s="989"/>
      <c r="E788" s="989"/>
      <c r="F788" s="990"/>
      <c r="G788" s="984"/>
      <c r="H788" s="968">
        <f>'1.Dati'!G3:K3</f>
        <v>0</v>
      </c>
      <c r="I788" s="969"/>
      <c r="J788" s="969"/>
      <c r="K788" s="969"/>
      <c r="L788" s="970"/>
      <c r="M788" s="953" t="s">
        <v>1028</v>
      </c>
      <c r="N788" s="954"/>
      <c r="O788" s="953" t="str">
        <f>O526</f>
        <v>Y</v>
      </c>
      <c r="P788" s="954"/>
      <c r="Q788" s="560"/>
    </row>
    <row r="789" spans="1:17">
      <c r="A789" s="560"/>
      <c r="C789" s="560"/>
      <c r="D789" s="560"/>
      <c r="E789" s="560"/>
      <c r="F789" s="560"/>
      <c r="G789" s="560"/>
      <c r="H789" s="560"/>
      <c r="I789" s="560"/>
      <c r="J789" s="560"/>
      <c r="K789" s="560"/>
      <c r="L789" s="560"/>
      <c r="M789" s="560"/>
      <c r="N789" s="560"/>
      <c r="O789" s="560"/>
      <c r="P789" s="560"/>
      <c r="Q789" s="560"/>
    </row>
    <row r="790" spans="1:17" ht="18">
      <c r="A790" s="995" t="s">
        <v>648</v>
      </c>
      <c r="B790" s="995"/>
      <c r="C790" s="995"/>
      <c r="D790" s="995"/>
      <c r="E790" s="995"/>
      <c r="F790" s="995"/>
      <c r="G790" s="995"/>
      <c r="H790" s="995"/>
      <c r="I790" s="995"/>
      <c r="J790" s="995"/>
      <c r="K790" s="995"/>
      <c r="L790" s="995"/>
      <c r="M790" s="995"/>
      <c r="N790" s="995"/>
      <c r="O790" s="995"/>
      <c r="P790" s="995"/>
      <c r="Q790" s="560"/>
    </row>
    <row r="791" spans="1:17">
      <c r="A791" s="560"/>
      <c r="C791" s="560"/>
      <c r="D791" s="560"/>
      <c r="E791" s="560"/>
      <c r="F791" s="560"/>
      <c r="G791" s="560"/>
      <c r="H791" s="560"/>
      <c r="I791" s="560"/>
      <c r="J791" s="560"/>
      <c r="K791" s="560"/>
      <c r="L791" s="560"/>
      <c r="M791" s="560"/>
      <c r="N791" s="560"/>
      <c r="O791" s="560"/>
      <c r="P791" s="560"/>
      <c r="Q791" s="560"/>
    </row>
    <row r="792" spans="1:17">
      <c r="A792" s="560"/>
      <c r="C792" s="560"/>
      <c r="D792" s="560"/>
      <c r="E792" s="560"/>
      <c r="F792" s="560"/>
      <c r="G792" s="560"/>
      <c r="H792" s="560"/>
      <c r="I792" s="560"/>
      <c r="J792" s="560"/>
      <c r="K792" s="560"/>
      <c r="L792" s="560"/>
      <c r="M792" s="560"/>
      <c r="N792" s="560"/>
      <c r="O792" s="560"/>
      <c r="P792" s="560"/>
      <c r="Q792" s="560"/>
    </row>
    <row r="793" spans="1:17">
      <c r="A793" s="560"/>
      <c r="C793" s="560"/>
      <c r="D793" s="560"/>
      <c r="E793" s="560"/>
      <c r="F793" s="560"/>
      <c r="G793" s="560"/>
      <c r="H793" s="560"/>
      <c r="I793" s="560"/>
      <c r="J793" s="560"/>
      <c r="K793" s="560"/>
      <c r="L793" s="560"/>
      <c r="M793" s="560"/>
      <c r="N793" s="560"/>
      <c r="O793" s="560"/>
      <c r="P793" s="560"/>
      <c r="Q793" s="560"/>
    </row>
    <row r="794" spans="1:17" ht="75">
      <c r="A794" s="560"/>
      <c r="C794" s="963" t="s">
        <v>333</v>
      </c>
      <c r="D794" s="999"/>
      <c r="E794" s="999"/>
      <c r="F794" s="964"/>
      <c r="G794" s="560"/>
      <c r="H794" s="560"/>
      <c r="I794" s="560"/>
      <c r="J794" s="560"/>
      <c r="K794" s="560"/>
      <c r="L794" s="560"/>
      <c r="M794" s="560"/>
      <c r="N794" s="560"/>
      <c r="O794" s="560"/>
      <c r="P794" s="560"/>
      <c r="Q794" s="560"/>
    </row>
    <row r="795" spans="1:17">
      <c r="A795" s="560"/>
      <c r="C795" s="955"/>
      <c r="D795" s="956"/>
      <c r="E795" s="956"/>
      <c r="F795" s="957"/>
      <c r="G795" s="560"/>
      <c r="H795" s="560"/>
      <c r="I795" s="560"/>
      <c r="J795" s="560"/>
      <c r="K795" s="560"/>
      <c r="L795" s="560"/>
      <c r="M795" s="560"/>
      <c r="N795" s="560"/>
      <c r="O795" s="560"/>
      <c r="P795" s="560"/>
      <c r="Q795" s="560"/>
    </row>
    <row r="796" spans="1:17" ht="16">
      <c r="A796" s="560"/>
      <c r="C796" s="994" t="s">
        <v>202</v>
      </c>
      <c r="D796" s="101" t="s">
        <v>653</v>
      </c>
      <c r="E796" s="997" t="s">
        <v>650</v>
      </c>
      <c r="F796" s="101" t="s">
        <v>334</v>
      </c>
      <c r="G796" s="560"/>
      <c r="H796" s="560"/>
      <c r="I796" s="560"/>
      <c r="J796" s="560"/>
      <c r="K796" s="560"/>
      <c r="L796" s="560"/>
      <c r="M796" s="560"/>
      <c r="N796" s="560"/>
      <c r="O796" s="560"/>
      <c r="P796" s="560"/>
      <c r="Q796" s="560"/>
    </row>
    <row r="797" spans="1:17">
      <c r="A797" s="560"/>
      <c r="C797" s="1000"/>
      <c r="D797" s="102" t="s">
        <v>649</v>
      </c>
      <c r="E797" s="102" t="s">
        <v>649</v>
      </c>
      <c r="F797" s="102" t="s">
        <v>218</v>
      </c>
      <c r="G797" s="560"/>
      <c r="H797" s="560"/>
      <c r="I797" s="560"/>
      <c r="J797" s="560"/>
      <c r="K797" s="560"/>
      <c r="L797" s="560"/>
      <c r="M797" s="560"/>
      <c r="N797" s="560"/>
      <c r="O797" s="560"/>
      <c r="P797" s="560"/>
      <c r="Q797" s="560"/>
    </row>
    <row r="798" spans="1:17">
      <c r="A798" s="560"/>
      <c r="C798" s="103" t="s">
        <v>204</v>
      </c>
      <c r="D798" s="525">
        <f>E748</f>
        <v>367.65147553543392</v>
      </c>
      <c r="E798" s="526">
        <f>E778</f>
        <v>621.1484999999999</v>
      </c>
      <c r="F798" s="525">
        <f>SUM(D798,E798)</f>
        <v>988.79997553543376</v>
      </c>
      <c r="G798" s="560"/>
      <c r="H798" s="560"/>
      <c r="I798" s="560"/>
      <c r="J798" s="560"/>
      <c r="K798" s="560"/>
      <c r="L798" s="560"/>
      <c r="M798" s="560"/>
      <c r="N798" s="560"/>
      <c r="O798" s="560"/>
      <c r="P798" s="560"/>
      <c r="Q798" s="560"/>
    </row>
    <row r="799" spans="1:17">
      <c r="A799" s="560"/>
      <c r="C799" s="103" t="s">
        <v>205</v>
      </c>
      <c r="D799" s="525">
        <f>F748</f>
        <v>428.03833491878999</v>
      </c>
      <c r="E799" s="526">
        <f>F778</f>
        <v>714.41999999999985</v>
      </c>
      <c r="F799" s="525">
        <f t="shared" ref="F799:F809" si="98">SUM(D799,E799)</f>
        <v>1142.4583349187899</v>
      </c>
      <c r="G799" s="560"/>
      <c r="H799" s="560"/>
      <c r="I799" s="560"/>
      <c r="J799" s="560"/>
      <c r="K799" s="560"/>
      <c r="L799" s="560"/>
      <c r="M799" s="560"/>
      <c r="N799" s="560"/>
      <c r="O799" s="560"/>
      <c r="P799" s="560"/>
      <c r="Q799" s="560"/>
    </row>
    <row r="800" spans="1:17">
      <c r="A800" s="560"/>
      <c r="C800" s="103" t="s">
        <v>206</v>
      </c>
      <c r="D800" s="525">
        <f>G748</f>
        <v>544.11987814545284</v>
      </c>
      <c r="E800" s="526">
        <f>G778</f>
        <v>895.00949999999978</v>
      </c>
      <c r="F800" s="525">
        <f t="shared" si="98"/>
        <v>1439.1293781454526</v>
      </c>
      <c r="G800" s="560"/>
      <c r="H800" s="560"/>
      <c r="I800" s="560"/>
      <c r="J800" s="560"/>
      <c r="K800" s="560"/>
      <c r="L800" s="560"/>
      <c r="M800" s="560"/>
      <c r="N800" s="560"/>
      <c r="O800" s="560"/>
      <c r="P800" s="560"/>
      <c r="Q800" s="560"/>
    </row>
    <row r="801" spans="1:17">
      <c r="A801" s="560"/>
      <c r="C801" s="103" t="s">
        <v>207</v>
      </c>
      <c r="D801" s="525">
        <f>H748</f>
        <v>615.45853339725397</v>
      </c>
      <c r="E801" s="526">
        <f>H778</f>
        <v>996.21899999999971</v>
      </c>
      <c r="F801" s="525">
        <f t="shared" si="98"/>
        <v>1611.6775333972537</v>
      </c>
      <c r="G801" s="560"/>
      <c r="H801" s="560"/>
      <c r="I801" s="560"/>
      <c r="J801" s="560"/>
      <c r="K801" s="560"/>
      <c r="L801" s="560"/>
      <c r="M801" s="560"/>
      <c r="N801" s="560"/>
      <c r="O801" s="560"/>
      <c r="P801" s="560"/>
      <c r="Q801" s="560"/>
    </row>
    <row r="802" spans="1:17">
      <c r="A802" s="560"/>
      <c r="C802" s="103" t="s">
        <v>208</v>
      </c>
      <c r="D802" s="993">
        <f>I748</f>
        <v>702.73657430157652</v>
      </c>
      <c r="E802" s="104">
        <f>I778</f>
        <v>1123.2269999999996</v>
      </c>
      <c r="F802" s="993">
        <f t="shared" si="98"/>
        <v>1825.963574301576</v>
      </c>
      <c r="G802" s="560"/>
      <c r="H802" s="560"/>
      <c r="I802" s="560"/>
      <c r="J802" s="560"/>
      <c r="K802" s="560"/>
      <c r="L802" s="560"/>
      <c r="M802" s="560"/>
      <c r="N802" s="560"/>
      <c r="O802" s="560"/>
      <c r="P802" s="560"/>
      <c r="Q802" s="560"/>
    </row>
    <row r="803" spans="1:17">
      <c r="A803" s="560"/>
      <c r="C803" s="103" t="s">
        <v>209</v>
      </c>
      <c r="D803" s="993">
        <f>J748</f>
        <v>763.63389839593992</v>
      </c>
      <c r="E803" s="104">
        <f>J778</f>
        <v>1212.5294999999996</v>
      </c>
      <c r="F803" s="993">
        <f t="shared" si="98"/>
        <v>1976.1633983959396</v>
      </c>
      <c r="G803" s="560"/>
      <c r="H803" s="560"/>
      <c r="I803" s="560"/>
      <c r="J803" s="560"/>
      <c r="K803" s="560"/>
      <c r="L803" s="560"/>
      <c r="M803" s="560"/>
      <c r="N803" s="560"/>
      <c r="O803" s="560"/>
      <c r="P803" s="560"/>
      <c r="Q803" s="560"/>
    </row>
    <row r="804" spans="1:17">
      <c r="A804" s="560"/>
      <c r="C804" s="103" t="s">
        <v>210</v>
      </c>
      <c r="D804" s="993">
        <f>K748</f>
        <v>819.98739114710736</v>
      </c>
      <c r="E804" s="104">
        <f>K778</f>
        <v>1303.8164999999997</v>
      </c>
      <c r="F804" s="993">
        <f t="shared" si="98"/>
        <v>2123.8038911471072</v>
      </c>
      <c r="G804" s="560"/>
      <c r="H804" s="560"/>
      <c r="I804" s="560"/>
      <c r="J804" s="560"/>
      <c r="K804" s="560"/>
      <c r="L804" s="560"/>
      <c r="M804" s="560"/>
      <c r="N804" s="560"/>
      <c r="O804" s="560"/>
      <c r="P804" s="560"/>
      <c r="Q804" s="560"/>
    </row>
    <row r="805" spans="1:17">
      <c r="A805" s="560"/>
      <c r="C805" s="103" t="s">
        <v>211</v>
      </c>
      <c r="D805" s="993">
        <f>L748</f>
        <v>753.17680691319606</v>
      </c>
      <c r="E805" s="104">
        <f>L778</f>
        <v>1212.5294999999996</v>
      </c>
      <c r="F805" s="993">
        <f t="shared" si="98"/>
        <v>1965.7063069131957</v>
      </c>
      <c r="G805" s="560"/>
      <c r="H805" s="560"/>
      <c r="I805" s="560"/>
      <c r="J805" s="560"/>
      <c r="K805" s="560"/>
      <c r="L805" s="560"/>
      <c r="M805" s="560"/>
      <c r="N805" s="560"/>
      <c r="O805" s="560"/>
      <c r="P805" s="560"/>
      <c r="Q805" s="560"/>
    </row>
    <row r="806" spans="1:17">
      <c r="A806" s="560"/>
      <c r="C806" s="103" t="s">
        <v>212</v>
      </c>
      <c r="D806" s="993">
        <f>M748</f>
        <v>625.96711232149119</v>
      </c>
      <c r="E806" s="104">
        <f>M778</f>
        <v>1024.0019999999997</v>
      </c>
      <c r="F806" s="993">
        <f t="shared" si="98"/>
        <v>1649.9691123214909</v>
      </c>
      <c r="G806" s="560"/>
      <c r="H806" s="560"/>
      <c r="I806" s="560"/>
      <c r="J806" s="560"/>
      <c r="K806" s="560"/>
      <c r="L806" s="560"/>
      <c r="M806" s="560"/>
      <c r="N806" s="560"/>
      <c r="O806" s="560"/>
      <c r="P806" s="560"/>
      <c r="Q806" s="560"/>
    </row>
    <row r="807" spans="1:17">
      <c r="A807" s="560"/>
      <c r="C807" s="103" t="s">
        <v>213</v>
      </c>
      <c r="D807" s="525">
        <f>N748</f>
        <v>514.3082206886553</v>
      </c>
      <c r="E807" s="526">
        <f>N778</f>
        <v>855.31949999999983</v>
      </c>
      <c r="F807" s="525">
        <f t="shared" si="98"/>
        <v>1369.6277206886552</v>
      </c>
      <c r="G807" s="560"/>
      <c r="H807" s="560"/>
      <c r="I807" s="560"/>
      <c r="J807" s="560"/>
      <c r="K807" s="560"/>
      <c r="L807" s="560"/>
      <c r="M807" s="560"/>
      <c r="N807" s="560"/>
      <c r="O807" s="560"/>
      <c r="P807" s="560"/>
      <c r="Q807" s="560"/>
    </row>
    <row r="808" spans="1:17">
      <c r="A808" s="560"/>
      <c r="C808" s="103" t="s">
        <v>214</v>
      </c>
      <c r="D808" s="525">
        <f>O748</f>
        <v>395.837447319707</v>
      </c>
      <c r="E808" s="526">
        <f>O778</f>
        <v>666.79199999999992</v>
      </c>
      <c r="F808" s="525">
        <f t="shared" si="98"/>
        <v>1062.629447319707</v>
      </c>
      <c r="G808" s="560"/>
      <c r="H808" s="560"/>
      <c r="I808" s="560"/>
      <c r="J808" s="560"/>
      <c r="K808" s="560"/>
      <c r="L808" s="560"/>
      <c r="M808" s="560"/>
      <c r="N808" s="560"/>
      <c r="O808" s="560"/>
      <c r="P808" s="560"/>
      <c r="Q808" s="560"/>
    </row>
    <row r="809" spans="1:17">
      <c r="A809" s="560"/>
      <c r="C809" s="103" t="s">
        <v>215</v>
      </c>
      <c r="D809" s="525">
        <f>P748</f>
        <v>328.75187426681913</v>
      </c>
      <c r="E809" s="526">
        <f>P778</f>
        <v>555.65999999999985</v>
      </c>
      <c r="F809" s="525">
        <f t="shared" si="98"/>
        <v>884.41187426681904</v>
      </c>
      <c r="G809" s="560"/>
      <c r="H809" s="560"/>
      <c r="I809" s="560"/>
      <c r="J809" s="560"/>
      <c r="K809" s="560"/>
      <c r="L809" s="560"/>
      <c r="M809" s="560"/>
      <c r="N809" s="560"/>
      <c r="O809" s="560"/>
      <c r="P809" s="560"/>
      <c r="Q809" s="560"/>
    </row>
    <row r="810" spans="1:17">
      <c r="A810" s="560"/>
      <c r="C810" s="560"/>
      <c r="D810" s="560"/>
      <c r="E810" s="560"/>
      <c r="F810" s="560"/>
      <c r="G810" s="560"/>
      <c r="H810" s="560"/>
      <c r="I810" s="560"/>
      <c r="J810" s="560"/>
      <c r="K810" s="560"/>
      <c r="L810" s="560"/>
      <c r="M810" s="560"/>
      <c r="N810" s="560"/>
      <c r="O810" s="560"/>
      <c r="P810" s="560"/>
      <c r="Q810" s="560"/>
    </row>
    <row r="811" spans="1:17">
      <c r="A811" s="560"/>
      <c r="C811" s="560"/>
      <c r="D811" s="560"/>
      <c r="E811" s="560"/>
      <c r="F811" s="560"/>
      <c r="G811" s="560"/>
      <c r="H811" s="560"/>
      <c r="I811" s="560"/>
      <c r="J811" s="560"/>
      <c r="K811" s="560"/>
      <c r="L811" s="560"/>
      <c r="M811" s="560"/>
      <c r="N811" s="560"/>
      <c r="O811" s="560"/>
      <c r="P811" s="560"/>
      <c r="Q811" s="560"/>
    </row>
    <row r="812" spans="1:17">
      <c r="A812" s="560"/>
      <c r="C812" s="560"/>
      <c r="D812" s="560"/>
      <c r="E812" s="560"/>
      <c r="F812" s="560"/>
      <c r="G812" s="560"/>
      <c r="H812" s="560"/>
      <c r="I812" s="560"/>
      <c r="J812" s="560"/>
      <c r="K812" s="560"/>
      <c r="L812" s="560"/>
      <c r="M812" s="560"/>
      <c r="N812" s="560"/>
      <c r="O812" s="560"/>
      <c r="P812" s="560"/>
      <c r="Q812" s="560"/>
    </row>
    <row r="813" spans="1:17">
      <c r="A813" s="524"/>
      <c r="B813" s="524"/>
      <c r="C813" s="524"/>
      <c r="D813" s="380"/>
      <c r="E813" s="380"/>
      <c r="F813" s="380"/>
      <c r="G813" s="380"/>
      <c r="H813" s="380"/>
      <c r="I813" s="380"/>
      <c r="J813" s="560"/>
      <c r="K813" s="560"/>
      <c r="L813" s="560"/>
      <c r="M813" s="560"/>
      <c r="N813" s="560"/>
      <c r="O813" s="560"/>
      <c r="P813" s="560"/>
      <c r="Q813" s="560"/>
    </row>
    <row r="814" spans="1:17">
      <c r="A814" s="524"/>
      <c r="B814" s="524"/>
      <c r="C814" s="524"/>
      <c r="D814" s="380"/>
      <c r="E814" s="380"/>
      <c r="F814" s="380"/>
      <c r="G814" s="380"/>
      <c r="H814" s="380"/>
      <c r="I814" s="380"/>
      <c r="J814" s="560"/>
      <c r="K814" s="560"/>
      <c r="L814" s="560"/>
      <c r="M814" s="560"/>
      <c r="N814" s="560"/>
      <c r="O814" s="560"/>
      <c r="P814" s="560"/>
      <c r="Q814" s="560"/>
    </row>
    <row r="815" spans="1:17">
      <c r="A815" s="294"/>
      <c r="B815" s="294"/>
      <c r="C815" s="65"/>
      <c r="D815" s="560"/>
      <c r="E815" s="560"/>
      <c r="F815" s="560"/>
      <c r="G815" s="560"/>
      <c r="H815" s="560"/>
      <c r="I815" s="560"/>
      <c r="J815" s="560"/>
      <c r="K815" s="560"/>
      <c r="L815" s="560"/>
      <c r="M815" s="560"/>
      <c r="N815" s="560"/>
      <c r="O815" s="560"/>
      <c r="P815" s="560"/>
      <c r="Q815" s="560"/>
    </row>
    <row r="816" spans="1:17">
      <c r="A816" s="294"/>
      <c r="B816" s="294"/>
      <c r="C816" s="65"/>
      <c r="D816" s="145"/>
      <c r="E816" s="145"/>
      <c r="F816" s="145"/>
      <c r="G816" s="145"/>
      <c r="H816" s="145"/>
      <c r="I816" s="145"/>
      <c r="J816" s="560"/>
      <c r="K816" s="560"/>
      <c r="L816" s="560"/>
      <c r="M816" s="560"/>
      <c r="N816" s="560"/>
      <c r="O816" s="560"/>
      <c r="P816" s="560"/>
      <c r="Q816" s="560"/>
    </row>
  </sheetData>
  <mergeCells count="204">
    <mergeCell ref="Q309:AA310"/>
    <mergeCell ref="Q311:S312"/>
    <mergeCell ref="T311:T312"/>
    <mergeCell ref="U311:U312"/>
    <mergeCell ref="V311:V312"/>
    <mergeCell ref="W311:W312"/>
    <mergeCell ref="X311:X312"/>
    <mergeCell ref="Y311:Y312"/>
    <mergeCell ref="Z311:Z312"/>
    <mergeCell ref="AA311:AA312"/>
    <mergeCell ref="B568:B603"/>
    <mergeCell ref="A532:A603"/>
    <mergeCell ref="B532:B567"/>
    <mergeCell ref="B604:B639"/>
    <mergeCell ref="A604:A675"/>
    <mergeCell ref="B640:B675"/>
    <mergeCell ref="A676:A747"/>
    <mergeCell ref="B676:B711"/>
    <mergeCell ref="B712:B747"/>
    <mergeCell ref="H305:L305"/>
    <mergeCell ref="M305:N305"/>
    <mergeCell ref="O305:P305"/>
    <mergeCell ref="H470:L470"/>
    <mergeCell ref="H471:L471"/>
    <mergeCell ref="J501:J506"/>
    <mergeCell ref="O470:P470"/>
    <mergeCell ref="M471:N471"/>
    <mergeCell ref="O471:P471"/>
    <mergeCell ref="A473:P473"/>
    <mergeCell ref="C470:F470"/>
    <mergeCell ref="C471:F471"/>
    <mergeCell ref="C469:F469"/>
    <mergeCell ref="C501:C506"/>
    <mergeCell ref="M470:N470"/>
    <mergeCell ref="F328:F329"/>
    <mergeCell ref="E342:E355"/>
    <mergeCell ref="F342:F343"/>
    <mergeCell ref="E356:E369"/>
    <mergeCell ref="F356:F357"/>
    <mergeCell ref="E370:E383"/>
    <mergeCell ref="F370:F371"/>
    <mergeCell ref="C310:M311"/>
    <mergeCell ref="C312:E313"/>
    <mergeCell ref="K90:O90"/>
    <mergeCell ref="B192:B216"/>
    <mergeCell ref="A217:A248"/>
    <mergeCell ref="B217:B232"/>
    <mergeCell ref="B233:B248"/>
    <mergeCell ref="A249:A298"/>
    <mergeCell ref="B249:B273"/>
    <mergeCell ref="B274:B298"/>
    <mergeCell ref="G469:G471"/>
    <mergeCell ref="H469:L469"/>
    <mergeCell ref="A307:P307"/>
    <mergeCell ref="C305:F305"/>
    <mergeCell ref="C303:F303"/>
    <mergeCell ref="G303:G305"/>
    <mergeCell ref="A167:A216"/>
    <mergeCell ref="B167:B191"/>
    <mergeCell ref="M469:N469"/>
    <mergeCell ref="O469:P469"/>
    <mergeCell ref="H303:L303"/>
    <mergeCell ref="M303:N303"/>
    <mergeCell ref="O303:P303"/>
    <mergeCell ref="H304:L304"/>
    <mergeCell ref="M304:N304"/>
    <mergeCell ref="O304:P304"/>
    <mergeCell ref="I91:J91"/>
    <mergeCell ref="I92:J92"/>
    <mergeCell ref="I153:J153"/>
    <mergeCell ref="C157:F157"/>
    <mergeCell ref="G157:G159"/>
    <mergeCell ref="H157:L157"/>
    <mergeCell ref="D163:D164"/>
    <mergeCell ref="E163:E164"/>
    <mergeCell ref="F163:F164"/>
    <mergeCell ref="G163:G164"/>
    <mergeCell ref="H163:H164"/>
    <mergeCell ref="I163:I164"/>
    <mergeCell ref="A163:C166"/>
    <mergeCell ref="H93:H112"/>
    <mergeCell ref="I93:I102"/>
    <mergeCell ref="I103:I112"/>
    <mergeCell ref="H113:H132"/>
    <mergeCell ref="I113:I122"/>
    <mergeCell ref="I123:I132"/>
    <mergeCell ref="H133:H152"/>
    <mergeCell ref="C1:F1"/>
    <mergeCell ref="G1:G3"/>
    <mergeCell ref="H1:L1"/>
    <mergeCell ref="A11:A30"/>
    <mergeCell ref="M3:N3"/>
    <mergeCell ref="O3:P3"/>
    <mergeCell ref="C7:C8"/>
    <mergeCell ref="D7:D8"/>
    <mergeCell ref="E7:E8"/>
    <mergeCell ref="C9:C10"/>
    <mergeCell ref="I7:L8"/>
    <mergeCell ref="I9:I10"/>
    <mergeCell ref="A5:P5"/>
    <mergeCell ref="A7:A8"/>
    <mergeCell ref="A9:A10"/>
    <mergeCell ref="B21:B30"/>
    <mergeCell ref="B11:B20"/>
    <mergeCell ref="E11:E70"/>
    <mergeCell ref="M1:N1"/>
    <mergeCell ref="O1:P1"/>
    <mergeCell ref="H2:L2"/>
    <mergeCell ref="M2:N2"/>
    <mergeCell ref="O2:P2"/>
    <mergeCell ref="H3:L3"/>
    <mergeCell ref="N758:N760"/>
    <mergeCell ref="C2:F2"/>
    <mergeCell ref="C3:F3"/>
    <mergeCell ref="A161:P161"/>
    <mergeCell ref="M157:N157"/>
    <mergeCell ref="O157:P157"/>
    <mergeCell ref="H158:L158"/>
    <mergeCell ref="M158:N158"/>
    <mergeCell ref="O158:P158"/>
    <mergeCell ref="H159:L159"/>
    <mergeCell ref="M159:N159"/>
    <mergeCell ref="O159:P159"/>
    <mergeCell ref="C158:F158"/>
    <mergeCell ref="C159:F159"/>
    <mergeCell ref="A51:A70"/>
    <mergeCell ref="B61:B70"/>
    <mergeCell ref="B51:B60"/>
    <mergeCell ref="B41:B50"/>
    <mergeCell ref="B31:B40"/>
    <mergeCell ref="A31:A50"/>
    <mergeCell ref="I133:I142"/>
    <mergeCell ref="I143:I152"/>
    <mergeCell ref="C304:F304"/>
    <mergeCell ref="D165:D166"/>
    <mergeCell ref="F312:F313"/>
    <mergeCell ref="G312:G313"/>
    <mergeCell ref="H312:H313"/>
    <mergeCell ref="I312:I313"/>
    <mergeCell ref="J312:J313"/>
    <mergeCell ref="K312:K313"/>
    <mergeCell ref="L312:L313"/>
    <mergeCell ref="M312:M313"/>
    <mergeCell ref="BH468:BR469"/>
    <mergeCell ref="S439:S452"/>
    <mergeCell ref="T439:T440"/>
    <mergeCell ref="S453:S466"/>
    <mergeCell ref="T453:T454"/>
    <mergeCell ref="T369:T370"/>
    <mergeCell ref="S383:S396"/>
    <mergeCell ref="T383:T384"/>
    <mergeCell ref="S397:S410"/>
    <mergeCell ref="T397:T398"/>
    <mergeCell ref="S411:S424"/>
    <mergeCell ref="T411:T412"/>
    <mergeCell ref="S425:S438"/>
    <mergeCell ref="T425:T426"/>
    <mergeCell ref="AS347:AS348"/>
    <mergeCell ref="AR347:AR360"/>
    <mergeCell ref="BH470:BH483"/>
    <mergeCell ref="BI470:BI483"/>
    <mergeCell ref="BJ470:BJ483"/>
    <mergeCell ref="BK470:BK471"/>
    <mergeCell ref="BN370:BN441"/>
    <mergeCell ref="BO370:BO405"/>
    <mergeCell ref="BO406:BO441"/>
    <mergeCell ref="E440:E453"/>
    <mergeCell ref="E384:E397"/>
    <mergeCell ref="E398:E411"/>
    <mergeCell ref="E412:E425"/>
    <mergeCell ref="E454:E467"/>
    <mergeCell ref="Q313:Q466"/>
    <mergeCell ref="R313:R466"/>
    <mergeCell ref="S313:S326"/>
    <mergeCell ref="T313:T314"/>
    <mergeCell ref="S327:S340"/>
    <mergeCell ref="T327:T328"/>
    <mergeCell ref="S341:S354"/>
    <mergeCell ref="T341:T342"/>
    <mergeCell ref="S355:S368"/>
    <mergeCell ref="T355:T356"/>
    <mergeCell ref="S369:S382"/>
    <mergeCell ref="F454:F455"/>
    <mergeCell ref="AS331:AS332"/>
    <mergeCell ref="AR331:AR344"/>
    <mergeCell ref="AS315:AS316"/>
    <mergeCell ref="AR315:AR328"/>
    <mergeCell ref="D314:D467"/>
    <mergeCell ref="C314:C467"/>
    <mergeCell ref="AH331:AH344"/>
    <mergeCell ref="AI331:AI332"/>
    <mergeCell ref="AH315:AH328"/>
    <mergeCell ref="AI315:AI316"/>
    <mergeCell ref="AH347:AH360"/>
    <mergeCell ref="AI347:AI348"/>
    <mergeCell ref="E426:E439"/>
    <mergeCell ref="F426:F427"/>
    <mergeCell ref="F440:F441"/>
    <mergeCell ref="F384:F385"/>
    <mergeCell ref="F398:F399"/>
    <mergeCell ref="F412:F413"/>
    <mergeCell ref="E314:E327"/>
    <mergeCell ref="F314:F315"/>
    <mergeCell ref="E328:E341"/>
  </mergeCells>
  <pageMargins left="0.7" right="0.7" top="0.75" bottom="0.75" header="0.3" footer="0.3"/>
  <pageSetup paperSize="9" scale="62" orientation="landscape" verticalDpi="360" r:id="rId1"/>
  <rowBreaks count="3" manualBreakCount="3">
    <brk id="156" max="14" man="1"/>
    <brk id="340" max="16383" man="1"/>
    <brk id="508" max="16383" man="1"/>
  </rowBreaks>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Y312"/>
  <sheetViews>
    <sheetView zoomScale="60" zoomScaleNormal="60" zoomScalePageLayoutView="160" workbookViewId="0">
      <selection activeCell="D30" sqref="D30"/>
    </sheetView>
  </sheetViews>
  <sheetFormatPr baseColWidth="10" defaultColWidth="8.83203125" defaultRowHeight="15"/>
  <cols>
    <col min="1" max="15" width="12.6640625" style="87" customWidth="1"/>
    <col min="16" max="19" width="8.83203125" style="87"/>
  </cols>
  <sheetData>
    <row r="1" spans="1:15">
      <c r="A1" s="150" t="s">
        <v>0</v>
      </c>
      <c r="B1" s="1402" t="s">
        <v>566</v>
      </c>
      <c r="C1" s="1403"/>
      <c r="D1" s="1403"/>
      <c r="E1" s="1404"/>
      <c r="F1" s="1508"/>
      <c r="G1" s="1402" t="s">
        <v>567</v>
      </c>
      <c r="H1" s="1403"/>
      <c r="I1" s="1403"/>
      <c r="J1" s="1403"/>
      <c r="K1" s="1404"/>
      <c r="L1" s="1352" t="s">
        <v>5</v>
      </c>
      <c r="M1" s="1353"/>
      <c r="N1" s="1352" t="s">
        <v>6</v>
      </c>
      <c r="O1" s="1353"/>
    </row>
    <row r="2" spans="1:15" ht="15" customHeight="1">
      <c r="A2" s="47">
        <v>8</v>
      </c>
      <c r="B2" s="1511" t="s">
        <v>341</v>
      </c>
      <c r="C2" s="1512"/>
      <c r="D2" s="1512"/>
      <c r="E2" s="1513"/>
      <c r="F2" s="1509"/>
      <c r="G2" s="1414" t="s">
        <v>568</v>
      </c>
      <c r="H2" s="1415"/>
      <c r="I2" s="1415"/>
      <c r="J2" s="1415"/>
      <c r="K2" s="1416"/>
      <c r="L2" s="1391" t="str">
        <f>'7.Apporti gratuiti'!M2</f>
        <v>Prof. R. RICCIU</v>
      </c>
      <c r="M2" s="1392"/>
      <c r="N2" s="1391" t="str">
        <f>'7.Apporti gratuiti'!O2</f>
        <v>X</v>
      </c>
      <c r="O2" s="1392"/>
    </row>
    <row r="3" spans="1:15">
      <c r="A3" s="48" t="s">
        <v>62</v>
      </c>
      <c r="B3" s="1514"/>
      <c r="C3" s="1515"/>
      <c r="D3" s="1515"/>
      <c r="E3" s="1516"/>
      <c r="F3" s="1510"/>
      <c r="G3" s="1354" t="str">
        <f>'1.Dati'!G3:K3</f>
        <v>LAB. INTEGR. DI PROG. TECN. (TERMOFISICA DELL'EDIFICIO) a.a. 2019/2020</v>
      </c>
      <c r="H3" s="1355"/>
      <c r="I3" s="1355"/>
      <c r="J3" s="1355"/>
      <c r="K3" s="1356"/>
      <c r="L3" s="1357" t="s">
        <v>1028</v>
      </c>
      <c r="M3" s="1358"/>
      <c r="N3" s="1352" t="str">
        <f>'7.Apporti gratuiti'!O3</f>
        <v>Y</v>
      </c>
      <c r="O3" s="1353"/>
    </row>
    <row r="5" spans="1:15" ht="16" thickBot="1"/>
    <row r="6" spans="1:15" ht="15" customHeight="1" thickBot="1">
      <c r="A6" s="1758" t="s">
        <v>369</v>
      </c>
      <c r="B6" s="1759"/>
      <c r="C6" s="1759"/>
      <c r="D6" s="1759"/>
      <c r="E6" s="1759"/>
      <c r="F6" s="1759"/>
      <c r="G6" s="1759"/>
      <c r="H6" s="360" t="s">
        <v>579</v>
      </c>
    </row>
    <row r="7" spans="1:15">
      <c r="A7" s="1734" t="s">
        <v>883</v>
      </c>
      <c r="B7" s="1735"/>
      <c r="C7" s="1735"/>
      <c r="D7" s="1735"/>
      <c r="E7" s="1735"/>
      <c r="F7" s="1735"/>
      <c r="G7" s="1736"/>
    </row>
    <row r="8" spans="1:15" ht="16">
      <c r="A8" s="1764" t="s">
        <v>202</v>
      </c>
      <c r="B8" s="1765"/>
      <c r="C8" s="116" t="s">
        <v>342</v>
      </c>
      <c r="D8" s="116" t="s">
        <v>343</v>
      </c>
      <c r="E8" s="116" t="s">
        <v>344</v>
      </c>
      <c r="F8" s="116" t="s">
        <v>345</v>
      </c>
      <c r="G8" s="116" t="s">
        <v>346</v>
      </c>
    </row>
    <row r="9" spans="1:15">
      <c r="A9" s="1766" t="s">
        <v>24</v>
      </c>
      <c r="B9" s="1767"/>
      <c r="C9" s="102" t="s">
        <v>75</v>
      </c>
      <c r="D9" s="102" t="s">
        <v>75</v>
      </c>
      <c r="E9" s="102" t="s">
        <v>75</v>
      </c>
      <c r="F9" s="102" t="s">
        <v>75</v>
      </c>
      <c r="G9" s="102" t="s">
        <v>75</v>
      </c>
    </row>
    <row r="10" spans="1:15">
      <c r="A10" s="1751" t="s">
        <v>213</v>
      </c>
      <c r="B10" s="1751"/>
      <c r="C10" s="139">
        <f>'3.Hd'!$H$464</f>
        <v>976.95106666666663</v>
      </c>
      <c r="D10" s="139">
        <f>'4.Hu'!$E$87</f>
        <v>1001.3221225841814</v>
      </c>
      <c r="E10" s="139">
        <v>0</v>
      </c>
      <c r="F10" s="139">
        <v>0</v>
      </c>
      <c r="G10" s="139">
        <f>C10+D10+E10+F10</f>
        <v>1978.2731892508482</v>
      </c>
    </row>
    <row r="11" spans="1:15">
      <c r="A11" s="1751" t="s">
        <v>214</v>
      </c>
      <c r="B11" s="1751"/>
      <c r="C11" s="567">
        <f>'3.Hd'!$H$464</f>
        <v>976.95106666666663</v>
      </c>
      <c r="D11" s="567">
        <f>'4.Hu'!$E$87</f>
        <v>1001.3221225841814</v>
      </c>
      <c r="E11" s="567">
        <v>0</v>
      </c>
      <c r="F11" s="567">
        <v>0</v>
      </c>
      <c r="G11" s="567">
        <f t="shared" ref="G11:G16" si="0">C11+D11+E11+F11</f>
        <v>1978.2731892508482</v>
      </c>
    </row>
    <row r="12" spans="1:15">
      <c r="A12" s="1751" t="s">
        <v>215</v>
      </c>
      <c r="B12" s="1751"/>
      <c r="C12" s="567">
        <f>'3.Hd'!$H$464</f>
        <v>976.95106666666663</v>
      </c>
      <c r="D12" s="567">
        <f>'4.Hu'!$E$87</f>
        <v>1001.3221225841814</v>
      </c>
      <c r="E12" s="567">
        <v>0</v>
      </c>
      <c r="F12" s="567">
        <v>0</v>
      </c>
      <c r="G12" s="567">
        <f t="shared" si="0"/>
        <v>1978.2731892508482</v>
      </c>
    </row>
    <row r="13" spans="1:15">
      <c r="A13" s="1751" t="s">
        <v>204</v>
      </c>
      <c r="B13" s="1751"/>
      <c r="C13" s="567">
        <f>'3.Hd'!$H$464</f>
        <v>976.95106666666663</v>
      </c>
      <c r="D13" s="567">
        <f>'4.Hu'!$E$87</f>
        <v>1001.3221225841814</v>
      </c>
      <c r="E13" s="567">
        <v>0</v>
      </c>
      <c r="F13" s="567">
        <v>0</v>
      </c>
      <c r="G13" s="567">
        <f t="shared" si="0"/>
        <v>1978.2731892508482</v>
      </c>
    </row>
    <row r="14" spans="1:15">
      <c r="A14" s="1751" t="s">
        <v>205</v>
      </c>
      <c r="B14" s="1751"/>
      <c r="C14" s="567">
        <f>'3.Hd'!$H$464</f>
        <v>976.95106666666663</v>
      </c>
      <c r="D14" s="567">
        <f>'4.Hu'!$E$87</f>
        <v>1001.3221225841814</v>
      </c>
      <c r="E14" s="567">
        <v>0</v>
      </c>
      <c r="F14" s="567">
        <v>0</v>
      </c>
      <c r="G14" s="567">
        <f t="shared" si="0"/>
        <v>1978.2731892508482</v>
      </c>
    </row>
    <row r="15" spans="1:15">
      <c r="A15" s="1751" t="s">
        <v>206</v>
      </c>
      <c r="B15" s="1751"/>
      <c r="C15" s="567">
        <f>'3.Hd'!$H$464</f>
        <v>976.95106666666663</v>
      </c>
      <c r="D15" s="567">
        <f>'4.Hu'!$E$87</f>
        <v>1001.3221225841814</v>
      </c>
      <c r="E15" s="567">
        <v>0</v>
      </c>
      <c r="F15" s="567">
        <v>0</v>
      </c>
      <c r="G15" s="567">
        <f t="shared" si="0"/>
        <v>1978.2731892508482</v>
      </c>
    </row>
    <row r="16" spans="1:15">
      <c r="A16" s="1751" t="s">
        <v>207</v>
      </c>
      <c r="B16" s="1751"/>
      <c r="C16" s="567">
        <f>'3.Hd'!$H$464</f>
        <v>976.95106666666663</v>
      </c>
      <c r="D16" s="567">
        <f>'4.Hu'!$E$87</f>
        <v>1001.3221225841814</v>
      </c>
      <c r="E16" s="567">
        <v>0</v>
      </c>
      <c r="F16" s="567">
        <v>0</v>
      </c>
      <c r="G16" s="567">
        <f t="shared" si="0"/>
        <v>1978.2731892508482</v>
      </c>
    </row>
    <row r="18" spans="1:8">
      <c r="A18" s="1758" t="s">
        <v>369</v>
      </c>
      <c r="B18" s="1759"/>
      <c r="C18" s="1759"/>
      <c r="D18" s="1759"/>
      <c r="E18" s="1759"/>
      <c r="F18" s="1759"/>
      <c r="G18" s="1768"/>
    </row>
    <row r="19" spans="1:8" ht="15" customHeight="1">
      <c r="A19" s="1734" t="s">
        <v>397</v>
      </c>
      <c r="B19" s="1735"/>
      <c r="C19" s="1735"/>
      <c r="D19" s="1735"/>
      <c r="E19" s="1735"/>
      <c r="F19" s="1735"/>
      <c r="G19" s="1736"/>
    </row>
    <row r="20" spans="1:8" ht="15" customHeight="1">
      <c r="A20" s="1772" t="s">
        <v>25</v>
      </c>
      <c r="B20" s="1773"/>
      <c r="C20" s="1774"/>
      <c r="D20" s="116" t="s">
        <v>342</v>
      </c>
      <c r="E20" s="116" t="s">
        <v>343</v>
      </c>
      <c r="F20" s="116" t="s">
        <v>344</v>
      </c>
      <c r="G20" s="116" t="s">
        <v>345</v>
      </c>
      <c r="H20" s="116" t="s">
        <v>346</v>
      </c>
    </row>
    <row r="21" spans="1:8" ht="15" customHeight="1">
      <c r="A21" s="1775"/>
      <c r="B21" s="1776"/>
      <c r="C21" s="1777"/>
      <c r="D21" s="102" t="s">
        <v>75</v>
      </c>
      <c r="E21" s="102" t="s">
        <v>75</v>
      </c>
      <c r="F21" s="102" t="s">
        <v>75</v>
      </c>
      <c r="G21" s="102" t="s">
        <v>75</v>
      </c>
      <c r="H21" s="102" t="s">
        <v>75</v>
      </c>
    </row>
    <row r="22" spans="1:8" ht="15" customHeight="1">
      <c r="A22" s="1484" t="s">
        <v>34</v>
      </c>
      <c r="B22" s="1481" t="s">
        <v>809</v>
      </c>
      <c r="C22" s="946" t="s">
        <v>9</v>
      </c>
      <c r="D22" s="139">
        <f>'3.Hd'!F464</f>
        <v>22.310749999999999</v>
      </c>
      <c r="E22" s="139">
        <v>0</v>
      </c>
      <c r="F22" s="139">
        <v>0</v>
      </c>
      <c r="G22" s="139">
        <v>0</v>
      </c>
      <c r="H22" s="533">
        <f>D22+E22+F22+G22</f>
        <v>22.310749999999999</v>
      </c>
    </row>
    <row r="23" spans="1:8" ht="15" customHeight="1">
      <c r="A23" s="1485"/>
      <c r="B23" s="1482"/>
      <c r="C23" s="944" t="s">
        <v>804</v>
      </c>
      <c r="D23" s="948">
        <f>'3.Hd'!F465</f>
        <v>75.371633333333335</v>
      </c>
      <c r="E23" s="948">
        <v>0</v>
      </c>
      <c r="F23" s="948">
        <v>0</v>
      </c>
      <c r="G23" s="948">
        <v>0</v>
      </c>
      <c r="H23" s="533">
        <f>D23+E23+F23+G23</f>
        <v>75.371633333333335</v>
      </c>
    </row>
    <row r="24" spans="1:8" ht="15" customHeight="1">
      <c r="A24" s="1485"/>
      <c r="B24" s="1482"/>
      <c r="C24" s="866" t="s">
        <v>22</v>
      </c>
      <c r="D24" s="948">
        <f>'3.Hd'!F466</f>
        <v>2.3210000000000002</v>
      </c>
      <c r="E24" s="948">
        <v>0</v>
      </c>
      <c r="F24" s="948">
        <v>0</v>
      </c>
      <c r="G24" s="948">
        <v>0</v>
      </c>
      <c r="H24" s="533">
        <f t="shared" ref="H24:H81" si="1">D24+E24+F24+G24</f>
        <v>2.3210000000000002</v>
      </c>
    </row>
    <row r="25" spans="1:8" ht="15" customHeight="1">
      <c r="A25" s="1485"/>
      <c r="B25" s="1482"/>
      <c r="C25" s="866" t="s">
        <v>803</v>
      </c>
      <c r="D25" s="948">
        <f>'3.Hd'!F467</f>
        <v>3.4759999999999995</v>
      </c>
      <c r="E25" s="948">
        <v>0</v>
      </c>
      <c r="F25" s="948">
        <v>0</v>
      </c>
      <c r="G25" s="948">
        <v>0</v>
      </c>
      <c r="H25" s="533">
        <f t="shared" si="1"/>
        <v>3.4759999999999995</v>
      </c>
    </row>
    <row r="26" spans="1:8" ht="15" customHeight="1">
      <c r="A26" s="1485"/>
      <c r="B26" s="1482"/>
      <c r="C26" s="866" t="s">
        <v>802</v>
      </c>
      <c r="D26" s="948">
        <f>'3.Hd'!F468</f>
        <v>15.814822222222221</v>
      </c>
      <c r="E26" s="948">
        <v>0</v>
      </c>
      <c r="F26" s="948">
        <v>0</v>
      </c>
      <c r="G26" s="948">
        <v>0</v>
      </c>
      <c r="H26" s="533">
        <f t="shared" si="1"/>
        <v>15.814822222222221</v>
      </c>
    </row>
    <row r="27" spans="1:8" ht="15" customHeight="1">
      <c r="A27" s="1485"/>
      <c r="B27" s="1482"/>
      <c r="C27" s="866" t="s">
        <v>587</v>
      </c>
      <c r="D27" s="948">
        <f>'3.Hd'!F469</f>
        <v>8.1890722222222205</v>
      </c>
      <c r="E27" s="948">
        <v>0</v>
      </c>
      <c r="F27" s="948">
        <v>0</v>
      </c>
      <c r="G27" s="948">
        <v>0</v>
      </c>
      <c r="H27" s="533">
        <f t="shared" si="1"/>
        <v>8.1890722222222205</v>
      </c>
    </row>
    <row r="28" spans="1:8" ht="15" customHeight="1">
      <c r="A28" s="1485"/>
      <c r="B28" s="1482"/>
      <c r="C28" s="866" t="s">
        <v>20</v>
      </c>
      <c r="D28" s="948">
        <f>'3.Hd'!F470</f>
        <v>22.001894444444442</v>
      </c>
      <c r="E28" s="948">
        <v>0</v>
      </c>
      <c r="F28" s="948">
        <v>0</v>
      </c>
      <c r="G28" s="948">
        <v>0</v>
      </c>
      <c r="H28" s="533">
        <f t="shared" si="1"/>
        <v>22.001894444444442</v>
      </c>
    </row>
    <row r="29" spans="1:8" ht="15" customHeight="1">
      <c r="A29" s="1485"/>
      <c r="B29" s="1482"/>
      <c r="C29" s="866" t="s">
        <v>586</v>
      </c>
      <c r="D29" s="948">
        <f>'3.Hd'!F471</f>
        <v>8.7390722222222212</v>
      </c>
      <c r="E29" s="948">
        <v>0</v>
      </c>
      <c r="F29" s="948">
        <v>0</v>
      </c>
      <c r="G29" s="948">
        <v>0</v>
      </c>
      <c r="H29" s="533">
        <f t="shared" si="1"/>
        <v>8.7390722222222212</v>
      </c>
    </row>
    <row r="30" spans="1:8" ht="15" customHeight="1">
      <c r="A30" s="1485"/>
      <c r="B30" s="1482"/>
      <c r="C30" s="866" t="s">
        <v>19</v>
      </c>
      <c r="D30" s="948">
        <f>'3.Hd'!F472</f>
        <v>20.380433333333333</v>
      </c>
      <c r="E30" s="948">
        <v>0</v>
      </c>
      <c r="F30" s="948">
        <v>0</v>
      </c>
      <c r="G30" s="948">
        <v>0</v>
      </c>
      <c r="H30" s="533">
        <f t="shared" si="1"/>
        <v>20.380433333333333</v>
      </c>
    </row>
    <row r="31" spans="1:8" ht="15" customHeight="1">
      <c r="A31" s="1485"/>
      <c r="B31" s="1483"/>
      <c r="C31" s="866" t="s">
        <v>588</v>
      </c>
      <c r="D31" s="948">
        <f>'3.Hd'!F473</f>
        <v>4.7849999999999993</v>
      </c>
      <c r="E31" s="948">
        <v>0</v>
      </c>
      <c r="F31" s="948">
        <v>0</v>
      </c>
      <c r="G31" s="948">
        <v>0</v>
      </c>
      <c r="H31" s="533">
        <f t="shared" si="1"/>
        <v>4.7849999999999993</v>
      </c>
    </row>
    <row r="32" spans="1:8" ht="15" customHeight="1">
      <c r="A32" s="1485"/>
      <c r="B32" s="1487" t="s">
        <v>810</v>
      </c>
      <c r="C32" s="868" t="s">
        <v>9</v>
      </c>
      <c r="D32" s="948">
        <f>'3.Hd'!F474</f>
        <v>22.310749999999999</v>
      </c>
      <c r="E32" s="948">
        <v>0</v>
      </c>
      <c r="F32" s="948">
        <v>0</v>
      </c>
      <c r="G32" s="948">
        <v>0</v>
      </c>
      <c r="H32" s="533">
        <f t="shared" si="1"/>
        <v>22.310749999999999</v>
      </c>
    </row>
    <row r="33" spans="1:8" ht="15" customHeight="1">
      <c r="A33" s="1485"/>
      <c r="B33" s="1488"/>
      <c r="C33" s="866" t="s">
        <v>804</v>
      </c>
      <c r="D33" s="948">
        <f>'3.Hd'!F475</f>
        <v>75.371633333333335</v>
      </c>
      <c r="E33" s="948">
        <v>0</v>
      </c>
      <c r="F33" s="948">
        <v>0</v>
      </c>
      <c r="G33" s="948">
        <v>0</v>
      </c>
      <c r="H33" s="533">
        <f t="shared" si="1"/>
        <v>75.371633333333335</v>
      </c>
    </row>
    <row r="34" spans="1:8" ht="15" customHeight="1">
      <c r="A34" s="1485"/>
      <c r="B34" s="1488"/>
      <c r="C34" s="866" t="s">
        <v>22</v>
      </c>
      <c r="D34" s="948">
        <f>'3.Hd'!F476</f>
        <v>2.3210000000000002</v>
      </c>
      <c r="E34" s="948">
        <v>0</v>
      </c>
      <c r="F34" s="948">
        <v>0</v>
      </c>
      <c r="G34" s="948">
        <v>0</v>
      </c>
      <c r="H34" s="533">
        <f t="shared" si="1"/>
        <v>2.3210000000000002</v>
      </c>
    </row>
    <row r="35" spans="1:8" ht="15" customHeight="1">
      <c r="A35" s="1485"/>
      <c r="B35" s="1488"/>
      <c r="C35" s="866" t="s">
        <v>803</v>
      </c>
      <c r="D35" s="948">
        <f>'3.Hd'!F477</f>
        <v>3.8389999999999995</v>
      </c>
      <c r="E35" s="948">
        <v>0</v>
      </c>
      <c r="F35" s="948">
        <v>0</v>
      </c>
      <c r="G35" s="948">
        <v>0</v>
      </c>
      <c r="H35" s="533">
        <f t="shared" si="1"/>
        <v>3.8389999999999995</v>
      </c>
    </row>
    <row r="36" spans="1:8" ht="15" customHeight="1">
      <c r="A36" s="1485"/>
      <c r="B36" s="1488"/>
      <c r="C36" s="866" t="s">
        <v>802</v>
      </c>
      <c r="D36" s="948">
        <f>'3.Hd'!F478</f>
        <v>15.814822222222221</v>
      </c>
      <c r="E36" s="948">
        <v>0</v>
      </c>
      <c r="F36" s="948">
        <v>0</v>
      </c>
      <c r="G36" s="948">
        <v>0</v>
      </c>
      <c r="H36" s="533">
        <f t="shared" si="1"/>
        <v>15.814822222222221</v>
      </c>
    </row>
    <row r="37" spans="1:8" ht="15" customHeight="1">
      <c r="A37" s="1485"/>
      <c r="B37" s="1488"/>
      <c r="C37" s="866" t="s">
        <v>587</v>
      </c>
      <c r="D37" s="948">
        <f>'3.Hd'!F479</f>
        <v>8.1890722222222205</v>
      </c>
      <c r="E37" s="948">
        <v>0</v>
      </c>
      <c r="F37" s="948">
        <v>0</v>
      </c>
      <c r="G37" s="948">
        <v>0</v>
      </c>
      <c r="H37" s="533">
        <f t="shared" si="1"/>
        <v>8.1890722222222205</v>
      </c>
    </row>
    <row r="38" spans="1:8" ht="15" customHeight="1">
      <c r="A38" s="1485"/>
      <c r="B38" s="1488"/>
      <c r="C38" s="866" t="s">
        <v>20</v>
      </c>
      <c r="D38" s="948">
        <f>'3.Hd'!F480</f>
        <v>22.001894444444442</v>
      </c>
      <c r="E38" s="948">
        <v>0</v>
      </c>
      <c r="F38" s="948">
        <v>0</v>
      </c>
      <c r="G38" s="948">
        <v>0</v>
      </c>
      <c r="H38" s="533">
        <f t="shared" si="1"/>
        <v>22.001894444444442</v>
      </c>
    </row>
    <row r="39" spans="1:8" ht="15" customHeight="1">
      <c r="A39" s="1485"/>
      <c r="B39" s="1488"/>
      <c r="C39" s="866" t="s">
        <v>586</v>
      </c>
      <c r="D39" s="948">
        <f>'3.Hd'!F481</f>
        <v>8.7390722222222212</v>
      </c>
      <c r="E39" s="948">
        <v>0</v>
      </c>
      <c r="F39" s="948">
        <v>0</v>
      </c>
      <c r="G39" s="948">
        <v>0</v>
      </c>
      <c r="H39" s="533">
        <f t="shared" si="1"/>
        <v>8.7390722222222212</v>
      </c>
    </row>
    <row r="40" spans="1:8" ht="15" customHeight="1">
      <c r="A40" s="1485"/>
      <c r="B40" s="1488"/>
      <c r="C40" s="866" t="s">
        <v>19</v>
      </c>
      <c r="D40" s="948">
        <f>'3.Hd'!F482</f>
        <v>20.380433333333333</v>
      </c>
      <c r="E40" s="948">
        <v>0</v>
      </c>
      <c r="F40" s="948">
        <v>0</v>
      </c>
      <c r="G40" s="948">
        <v>0</v>
      </c>
      <c r="H40" s="533">
        <f t="shared" si="1"/>
        <v>20.380433333333333</v>
      </c>
    </row>
    <row r="41" spans="1:8" ht="15" customHeight="1">
      <c r="A41" s="1486"/>
      <c r="B41" s="1489"/>
      <c r="C41" s="947" t="s">
        <v>588</v>
      </c>
      <c r="D41" s="948">
        <f>'3.Hd'!F483</f>
        <v>4.7849999999999993</v>
      </c>
      <c r="E41" s="948">
        <v>0</v>
      </c>
      <c r="F41" s="948">
        <v>0</v>
      </c>
      <c r="G41" s="948">
        <v>0</v>
      </c>
      <c r="H41" s="533">
        <f t="shared" si="1"/>
        <v>4.7849999999999993</v>
      </c>
    </row>
    <row r="42" spans="1:8" ht="15" customHeight="1">
      <c r="A42" s="1369" t="s">
        <v>835</v>
      </c>
      <c r="B42" s="1481" t="s">
        <v>809</v>
      </c>
      <c r="C42" s="868" t="s">
        <v>9</v>
      </c>
      <c r="D42" s="948">
        <f>'3.Hd'!F484</f>
        <v>16.78875</v>
      </c>
      <c r="E42" s="948">
        <v>0</v>
      </c>
      <c r="F42" s="948">
        <v>0</v>
      </c>
      <c r="G42" s="948">
        <v>0</v>
      </c>
      <c r="H42" s="533">
        <f t="shared" si="1"/>
        <v>16.78875</v>
      </c>
    </row>
    <row r="43" spans="1:8" ht="15" customHeight="1">
      <c r="A43" s="1370"/>
      <c r="B43" s="1482"/>
      <c r="C43" s="866" t="s">
        <v>804</v>
      </c>
      <c r="D43" s="948">
        <f>'3.Hd'!F485</f>
        <v>61.390633333333341</v>
      </c>
      <c r="E43" s="948">
        <v>0</v>
      </c>
      <c r="F43" s="948">
        <v>0</v>
      </c>
      <c r="G43" s="948">
        <v>0</v>
      </c>
      <c r="H43" s="533">
        <f t="shared" si="1"/>
        <v>61.390633333333341</v>
      </c>
    </row>
    <row r="44" spans="1:8" ht="15" customHeight="1">
      <c r="A44" s="1370"/>
      <c r="B44" s="1482"/>
      <c r="C44" s="866" t="s">
        <v>22</v>
      </c>
      <c r="D44" s="948">
        <f>'3.Hd'!F486</f>
        <v>0.56100000000000005</v>
      </c>
      <c r="E44" s="948">
        <v>0</v>
      </c>
      <c r="F44" s="948">
        <v>0</v>
      </c>
      <c r="G44" s="948">
        <v>0</v>
      </c>
      <c r="H44" s="533">
        <f t="shared" si="1"/>
        <v>0.56100000000000005</v>
      </c>
    </row>
    <row r="45" spans="1:8" ht="15" customHeight="1">
      <c r="A45" s="1370"/>
      <c r="B45" s="1482"/>
      <c r="C45" s="866" t="s">
        <v>803</v>
      </c>
      <c r="D45" s="948">
        <f>'3.Hd'!F487</f>
        <v>2.9479999999999995</v>
      </c>
      <c r="E45" s="948">
        <v>0</v>
      </c>
      <c r="F45" s="948">
        <v>0</v>
      </c>
      <c r="G45" s="948">
        <v>0</v>
      </c>
      <c r="H45" s="533">
        <f t="shared" si="1"/>
        <v>2.9479999999999995</v>
      </c>
    </row>
    <row r="46" spans="1:8" ht="15" customHeight="1">
      <c r="A46" s="1370"/>
      <c r="B46" s="1482"/>
      <c r="C46" s="866" t="s">
        <v>802</v>
      </c>
      <c r="D46" s="948">
        <f>'3.Hd'!F488</f>
        <v>10.017822222222222</v>
      </c>
      <c r="E46" s="948">
        <v>0</v>
      </c>
      <c r="F46" s="948">
        <v>0</v>
      </c>
      <c r="G46" s="948">
        <v>0</v>
      </c>
      <c r="H46" s="533">
        <f t="shared" si="1"/>
        <v>10.017822222222222</v>
      </c>
    </row>
    <row r="47" spans="1:8" ht="15" customHeight="1">
      <c r="A47" s="1370"/>
      <c r="B47" s="1482"/>
      <c r="C47" s="866" t="s">
        <v>587</v>
      </c>
      <c r="D47" s="948">
        <f>'3.Hd'!F489</f>
        <v>6.132072222222221</v>
      </c>
      <c r="E47" s="948">
        <v>0</v>
      </c>
      <c r="F47" s="948">
        <v>0</v>
      </c>
      <c r="G47" s="948">
        <v>0</v>
      </c>
      <c r="H47" s="533">
        <f t="shared" si="1"/>
        <v>6.132072222222221</v>
      </c>
    </row>
    <row r="48" spans="1:8" ht="15" customHeight="1">
      <c r="A48" s="1370"/>
      <c r="B48" s="1482"/>
      <c r="C48" s="866" t="s">
        <v>20</v>
      </c>
      <c r="D48" s="948">
        <f>'3.Hd'!F490</f>
        <v>16.919894444444441</v>
      </c>
      <c r="E48" s="948">
        <v>0</v>
      </c>
      <c r="F48" s="948">
        <v>0</v>
      </c>
      <c r="G48" s="948">
        <v>0</v>
      </c>
      <c r="H48" s="533">
        <f t="shared" si="1"/>
        <v>16.919894444444441</v>
      </c>
    </row>
    <row r="49" spans="1:8" ht="15" customHeight="1">
      <c r="A49" s="1370"/>
      <c r="B49" s="1482"/>
      <c r="C49" s="866" t="s">
        <v>586</v>
      </c>
      <c r="D49" s="948">
        <f>'3.Hd'!F491</f>
        <v>6.5170722222222208</v>
      </c>
      <c r="E49" s="948">
        <v>0</v>
      </c>
      <c r="F49" s="948">
        <v>0</v>
      </c>
      <c r="G49" s="948">
        <v>0</v>
      </c>
      <c r="H49" s="533">
        <f t="shared" si="1"/>
        <v>6.5170722222222208</v>
      </c>
    </row>
    <row r="50" spans="1:8" ht="15" customHeight="1">
      <c r="A50" s="1370"/>
      <c r="B50" s="1482"/>
      <c r="C50" s="866" t="s">
        <v>19</v>
      </c>
      <c r="D50" s="948">
        <f>'3.Hd'!F492</f>
        <v>12.878433333333334</v>
      </c>
      <c r="E50" s="948">
        <v>0</v>
      </c>
      <c r="F50" s="948">
        <v>0</v>
      </c>
      <c r="G50" s="948">
        <v>0</v>
      </c>
      <c r="H50" s="533">
        <f t="shared" si="1"/>
        <v>12.878433333333334</v>
      </c>
    </row>
    <row r="51" spans="1:8" ht="15" customHeight="1">
      <c r="A51" s="1370"/>
      <c r="B51" s="1483"/>
      <c r="C51" s="866" t="s">
        <v>588</v>
      </c>
      <c r="D51" s="948">
        <f>'3.Hd'!F493</f>
        <v>1.0230000000000001</v>
      </c>
      <c r="E51" s="948">
        <v>0</v>
      </c>
      <c r="F51" s="948">
        <v>0</v>
      </c>
      <c r="G51" s="948">
        <v>0</v>
      </c>
      <c r="H51" s="533">
        <f t="shared" si="1"/>
        <v>1.0230000000000001</v>
      </c>
    </row>
    <row r="52" spans="1:8" ht="15" customHeight="1">
      <c r="A52" s="1370"/>
      <c r="B52" s="1487" t="s">
        <v>810</v>
      </c>
      <c r="C52" s="868" t="s">
        <v>9</v>
      </c>
      <c r="D52" s="948">
        <f>'3.Hd'!F494</f>
        <v>16.78875</v>
      </c>
      <c r="E52" s="948">
        <v>0</v>
      </c>
      <c r="F52" s="948">
        <v>0</v>
      </c>
      <c r="G52" s="948">
        <v>0</v>
      </c>
      <c r="H52" s="533">
        <f t="shared" si="1"/>
        <v>16.78875</v>
      </c>
    </row>
    <row r="53" spans="1:8" ht="15" customHeight="1">
      <c r="A53" s="1370"/>
      <c r="B53" s="1488"/>
      <c r="C53" s="866" t="s">
        <v>804</v>
      </c>
      <c r="D53" s="948">
        <f>'3.Hd'!F495</f>
        <v>61.390633333333341</v>
      </c>
      <c r="E53" s="948">
        <v>0</v>
      </c>
      <c r="F53" s="948">
        <v>0</v>
      </c>
      <c r="G53" s="948">
        <v>0</v>
      </c>
      <c r="H53" s="533">
        <f t="shared" si="1"/>
        <v>61.390633333333341</v>
      </c>
    </row>
    <row r="54" spans="1:8" ht="15" customHeight="1">
      <c r="A54" s="1370"/>
      <c r="B54" s="1488"/>
      <c r="C54" s="866" t="s">
        <v>22</v>
      </c>
      <c r="D54" s="948">
        <f>'3.Hd'!F496</f>
        <v>0.56100000000000005</v>
      </c>
      <c r="E54" s="948">
        <v>0</v>
      </c>
      <c r="F54" s="948">
        <v>0</v>
      </c>
      <c r="G54" s="948">
        <v>0</v>
      </c>
      <c r="H54" s="533">
        <f t="shared" si="1"/>
        <v>0.56100000000000005</v>
      </c>
    </row>
    <row r="55" spans="1:8" ht="15" customHeight="1">
      <c r="A55" s="1370"/>
      <c r="B55" s="1488"/>
      <c r="C55" s="866" t="s">
        <v>803</v>
      </c>
      <c r="D55" s="948">
        <f>'3.Hd'!F497</f>
        <v>2.9479999999999995</v>
      </c>
      <c r="E55" s="948">
        <v>0</v>
      </c>
      <c r="F55" s="948">
        <v>0</v>
      </c>
      <c r="G55" s="948">
        <v>0</v>
      </c>
      <c r="H55" s="533">
        <f t="shared" si="1"/>
        <v>2.9479999999999995</v>
      </c>
    </row>
    <row r="56" spans="1:8" ht="15" customHeight="1">
      <c r="A56" s="1370"/>
      <c r="B56" s="1488"/>
      <c r="C56" s="866" t="s">
        <v>802</v>
      </c>
      <c r="D56" s="948">
        <f>'3.Hd'!F498</f>
        <v>10.017822222222222</v>
      </c>
      <c r="E56" s="948">
        <v>0</v>
      </c>
      <c r="F56" s="948">
        <v>0</v>
      </c>
      <c r="G56" s="948">
        <v>0</v>
      </c>
      <c r="H56" s="533">
        <f t="shared" si="1"/>
        <v>10.017822222222222</v>
      </c>
    </row>
    <row r="57" spans="1:8" ht="15" customHeight="1">
      <c r="A57" s="1370"/>
      <c r="B57" s="1488"/>
      <c r="C57" s="866" t="s">
        <v>587</v>
      </c>
      <c r="D57" s="948">
        <f>'3.Hd'!F499</f>
        <v>6.132072222222221</v>
      </c>
      <c r="E57" s="948">
        <v>0</v>
      </c>
      <c r="F57" s="948">
        <v>0</v>
      </c>
      <c r="G57" s="948">
        <v>0</v>
      </c>
      <c r="H57" s="533">
        <f t="shared" si="1"/>
        <v>6.132072222222221</v>
      </c>
    </row>
    <row r="58" spans="1:8" ht="15" customHeight="1">
      <c r="A58" s="1370"/>
      <c r="B58" s="1488"/>
      <c r="C58" s="866" t="s">
        <v>20</v>
      </c>
      <c r="D58" s="948">
        <f>'3.Hd'!F500</f>
        <v>16.919894444444441</v>
      </c>
      <c r="E58" s="948">
        <v>0</v>
      </c>
      <c r="F58" s="948">
        <v>0</v>
      </c>
      <c r="G58" s="948">
        <v>0</v>
      </c>
      <c r="H58" s="533">
        <f t="shared" si="1"/>
        <v>16.919894444444441</v>
      </c>
    </row>
    <row r="59" spans="1:8" ht="15" customHeight="1">
      <c r="A59" s="1370"/>
      <c r="B59" s="1488"/>
      <c r="C59" s="866" t="s">
        <v>586</v>
      </c>
      <c r="D59" s="948">
        <f>'3.Hd'!F501</f>
        <v>6.5170722222222208</v>
      </c>
      <c r="E59" s="948">
        <v>0</v>
      </c>
      <c r="F59" s="948">
        <v>0</v>
      </c>
      <c r="G59" s="948">
        <v>0</v>
      </c>
      <c r="H59" s="533">
        <f t="shared" si="1"/>
        <v>6.5170722222222208</v>
      </c>
    </row>
    <row r="60" spans="1:8">
      <c r="A60" s="1370"/>
      <c r="B60" s="1488"/>
      <c r="C60" s="866" t="s">
        <v>19</v>
      </c>
      <c r="D60" s="948">
        <f>'3.Hd'!F502</f>
        <v>12.878433333333334</v>
      </c>
      <c r="E60" s="948">
        <v>0</v>
      </c>
      <c r="F60" s="948">
        <v>0</v>
      </c>
      <c r="G60" s="948">
        <v>0</v>
      </c>
      <c r="H60" s="533">
        <f t="shared" si="1"/>
        <v>12.878433333333334</v>
      </c>
    </row>
    <row r="61" spans="1:8">
      <c r="A61" s="1371"/>
      <c r="B61" s="1489"/>
      <c r="C61" s="869" t="s">
        <v>588</v>
      </c>
      <c r="D61" s="948">
        <f>'3.Hd'!F503</f>
        <v>1.0230000000000001</v>
      </c>
      <c r="E61" s="948">
        <v>0</v>
      </c>
      <c r="F61" s="948">
        <v>0</v>
      </c>
      <c r="G61" s="948">
        <v>0</v>
      </c>
      <c r="H61" s="533">
        <f t="shared" si="1"/>
        <v>1.0230000000000001</v>
      </c>
    </row>
    <row r="62" spans="1:8">
      <c r="A62" s="1377" t="s">
        <v>857</v>
      </c>
      <c r="B62" s="1375" t="s">
        <v>809</v>
      </c>
      <c r="C62" s="921" t="s">
        <v>9</v>
      </c>
      <c r="D62" s="948">
        <f>'3.Hd'!F504</f>
        <v>20.583750000000002</v>
      </c>
      <c r="E62" s="948">
        <v>0</v>
      </c>
      <c r="F62" s="948">
        <v>0</v>
      </c>
      <c r="G62" s="948">
        <v>0</v>
      </c>
      <c r="H62" s="533">
        <f t="shared" si="1"/>
        <v>20.583750000000002</v>
      </c>
    </row>
    <row r="63" spans="1:8">
      <c r="A63" s="1377"/>
      <c r="B63" s="1375"/>
      <c r="C63" s="921" t="s">
        <v>804</v>
      </c>
      <c r="D63" s="948">
        <f>'3.Hd'!F505</f>
        <v>71.004633333333345</v>
      </c>
      <c r="E63" s="948">
        <v>0</v>
      </c>
      <c r="F63" s="948">
        <v>0</v>
      </c>
      <c r="G63" s="948">
        <v>0</v>
      </c>
      <c r="H63" s="533">
        <f t="shared" si="1"/>
        <v>71.004633333333345</v>
      </c>
    </row>
    <row r="64" spans="1:8">
      <c r="A64" s="1377"/>
      <c r="B64" s="1375"/>
      <c r="C64" s="921" t="s">
        <v>22</v>
      </c>
      <c r="D64" s="948">
        <f>'3.Hd'!F506</f>
        <v>1.7710000000000001</v>
      </c>
      <c r="E64" s="948">
        <v>0</v>
      </c>
      <c r="F64" s="948">
        <v>0</v>
      </c>
      <c r="G64" s="948">
        <v>0</v>
      </c>
      <c r="H64" s="533">
        <f t="shared" si="1"/>
        <v>1.7710000000000001</v>
      </c>
    </row>
    <row r="65" spans="1:8">
      <c r="A65" s="1377"/>
      <c r="B65" s="1375"/>
      <c r="C65" s="921" t="s">
        <v>803</v>
      </c>
      <c r="D65" s="948">
        <f>'3.Hd'!F507</f>
        <v>3.5529999999999995</v>
      </c>
      <c r="E65" s="948">
        <v>0</v>
      </c>
      <c r="F65" s="948">
        <v>0</v>
      </c>
      <c r="G65" s="948">
        <v>0</v>
      </c>
      <c r="H65" s="533">
        <f t="shared" si="1"/>
        <v>3.5529999999999995</v>
      </c>
    </row>
    <row r="66" spans="1:8" ht="15" customHeight="1">
      <c r="A66" s="1377"/>
      <c r="B66" s="1375"/>
      <c r="C66" s="921" t="s">
        <v>802</v>
      </c>
      <c r="D66" s="948">
        <f>'3.Hd'!F508</f>
        <v>13.999822222222221</v>
      </c>
      <c r="E66" s="948">
        <v>0</v>
      </c>
      <c r="F66" s="948">
        <v>0</v>
      </c>
      <c r="G66" s="948">
        <v>0</v>
      </c>
      <c r="H66" s="533">
        <f t="shared" si="1"/>
        <v>13.999822222222221</v>
      </c>
    </row>
    <row r="67" spans="1:8">
      <c r="A67" s="1377"/>
      <c r="B67" s="1375"/>
      <c r="C67" s="921" t="s">
        <v>587</v>
      </c>
      <c r="D67" s="948">
        <f>'3.Hd'!F509</f>
        <v>7.5400722222222214</v>
      </c>
      <c r="E67" s="948">
        <v>0</v>
      </c>
      <c r="F67" s="948">
        <v>0</v>
      </c>
      <c r="G67" s="948">
        <v>0</v>
      </c>
      <c r="H67" s="533">
        <f t="shared" si="1"/>
        <v>7.5400722222222214</v>
      </c>
    </row>
    <row r="68" spans="1:8">
      <c r="A68" s="1377"/>
      <c r="B68" s="1375"/>
      <c r="C68" s="921" t="s">
        <v>20</v>
      </c>
      <c r="D68" s="948">
        <f>'3.Hd'!F510</f>
        <v>20.406894444444443</v>
      </c>
      <c r="E68" s="948">
        <v>0</v>
      </c>
      <c r="F68" s="948">
        <v>0</v>
      </c>
      <c r="G68" s="948">
        <v>0</v>
      </c>
      <c r="H68" s="533">
        <f t="shared" si="1"/>
        <v>20.406894444444443</v>
      </c>
    </row>
    <row r="69" spans="1:8">
      <c r="A69" s="1377"/>
      <c r="B69" s="1375"/>
      <c r="C69" s="921" t="s">
        <v>586</v>
      </c>
      <c r="D69" s="948">
        <f>'3.Hd'!F511</f>
        <v>8.0460722222222198</v>
      </c>
      <c r="E69" s="948">
        <v>0</v>
      </c>
      <c r="F69" s="948">
        <v>0</v>
      </c>
      <c r="G69" s="948">
        <v>0</v>
      </c>
      <c r="H69" s="533">
        <f t="shared" si="1"/>
        <v>8.0460722222222198</v>
      </c>
    </row>
    <row r="70" spans="1:8">
      <c r="A70" s="1377"/>
      <c r="B70" s="1375"/>
      <c r="C70" s="921" t="s">
        <v>19</v>
      </c>
      <c r="D70" s="948">
        <f>'3.Hd'!F512</f>
        <v>18.037433333333333</v>
      </c>
      <c r="E70" s="948">
        <v>0</v>
      </c>
      <c r="F70" s="948">
        <v>0</v>
      </c>
      <c r="G70" s="948">
        <v>0</v>
      </c>
      <c r="H70" s="533">
        <f t="shared" si="1"/>
        <v>18.037433333333333</v>
      </c>
    </row>
    <row r="71" spans="1:8">
      <c r="A71" s="1377"/>
      <c r="B71" s="1375"/>
      <c r="C71" s="921" t="s">
        <v>588</v>
      </c>
      <c r="D71" s="948">
        <f>'3.Hd'!F513</f>
        <v>4.7849999999999993</v>
      </c>
      <c r="E71" s="948">
        <v>0</v>
      </c>
      <c r="F71" s="948">
        <v>0</v>
      </c>
      <c r="G71" s="948">
        <v>0</v>
      </c>
      <c r="H71" s="533">
        <f t="shared" si="1"/>
        <v>4.7849999999999993</v>
      </c>
    </row>
    <row r="72" spans="1:8">
      <c r="A72" s="1377"/>
      <c r="B72" s="1490" t="s">
        <v>810</v>
      </c>
      <c r="C72" s="920" t="s">
        <v>9</v>
      </c>
      <c r="D72" s="948">
        <f>'3.Hd'!F514</f>
        <v>20.583750000000002</v>
      </c>
      <c r="E72" s="948">
        <v>0</v>
      </c>
      <c r="F72" s="948">
        <v>0</v>
      </c>
      <c r="G72" s="948">
        <v>0</v>
      </c>
      <c r="H72" s="533">
        <f t="shared" si="1"/>
        <v>20.583750000000002</v>
      </c>
    </row>
    <row r="73" spans="1:8">
      <c r="A73" s="1377"/>
      <c r="B73" s="1490"/>
      <c r="C73" s="921" t="s">
        <v>804</v>
      </c>
      <c r="D73" s="948">
        <f>'3.Hd'!F515</f>
        <v>71.004633333333345</v>
      </c>
      <c r="E73" s="948">
        <v>0</v>
      </c>
      <c r="F73" s="948">
        <v>0</v>
      </c>
      <c r="G73" s="948">
        <v>0</v>
      </c>
      <c r="H73" s="533">
        <f t="shared" si="1"/>
        <v>71.004633333333345</v>
      </c>
    </row>
    <row r="74" spans="1:8" ht="15" customHeight="1">
      <c r="A74" s="1377"/>
      <c r="B74" s="1490"/>
      <c r="C74" s="921" t="s">
        <v>22</v>
      </c>
      <c r="D74" s="948">
        <f>'3.Hd'!F516</f>
        <v>1.7710000000000001</v>
      </c>
      <c r="E74" s="948">
        <v>0</v>
      </c>
      <c r="F74" s="948">
        <v>0</v>
      </c>
      <c r="G74" s="948">
        <v>0</v>
      </c>
      <c r="H74" s="533">
        <f t="shared" si="1"/>
        <v>1.7710000000000001</v>
      </c>
    </row>
    <row r="75" spans="1:8">
      <c r="A75" s="1377"/>
      <c r="B75" s="1490"/>
      <c r="C75" s="921" t="s">
        <v>803</v>
      </c>
      <c r="D75" s="948">
        <f>'3.Hd'!F517</f>
        <v>3.5529999999999995</v>
      </c>
      <c r="E75" s="948">
        <v>0</v>
      </c>
      <c r="F75" s="948">
        <v>0</v>
      </c>
      <c r="G75" s="948">
        <v>0</v>
      </c>
      <c r="H75" s="533">
        <f t="shared" si="1"/>
        <v>3.5529999999999995</v>
      </c>
    </row>
    <row r="76" spans="1:8">
      <c r="A76" s="1377"/>
      <c r="B76" s="1490"/>
      <c r="C76" s="921" t="s">
        <v>802</v>
      </c>
      <c r="D76" s="948">
        <f>'3.Hd'!F518</f>
        <v>13.999822222222221</v>
      </c>
      <c r="E76" s="948">
        <v>0</v>
      </c>
      <c r="F76" s="948">
        <v>0</v>
      </c>
      <c r="G76" s="948">
        <v>0</v>
      </c>
      <c r="H76" s="533">
        <f t="shared" si="1"/>
        <v>13.999822222222221</v>
      </c>
    </row>
    <row r="77" spans="1:8">
      <c r="A77" s="1377"/>
      <c r="B77" s="1490"/>
      <c r="C77" s="921" t="s">
        <v>587</v>
      </c>
      <c r="D77" s="948">
        <f>'3.Hd'!F519</f>
        <v>7.5400722222222214</v>
      </c>
      <c r="E77" s="948">
        <v>0</v>
      </c>
      <c r="F77" s="948">
        <v>0</v>
      </c>
      <c r="G77" s="948">
        <v>0</v>
      </c>
      <c r="H77" s="533">
        <f t="shared" si="1"/>
        <v>7.5400722222222214</v>
      </c>
    </row>
    <row r="78" spans="1:8">
      <c r="A78" s="1377"/>
      <c r="B78" s="1490"/>
      <c r="C78" s="921" t="s">
        <v>20</v>
      </c>
      <c r="D78" s="948">
        <f>'3.Hd'!F520</f>
        <v>20.406894444444443</v>
      </c>
      <c r="E78" s="948">
        <v>0</v>
      </c>
      <c r="F78" s="948">
        <v>0</v>
      </c>
      <c r="G78" s="948">
        <v>0</v>
      </c>
      <c r="H78" s="533">
        <f t="shared" si="1"/>
        <v>20.406894444444443</v>
      </c>
    </row>
    <row r="79" spans="1:8">
      <c r="A79" s="1377"/>
      <c r="B79" s="1490"/>
      <c r="C79" s="921" t="s">
        <v>586</v>
      </c>
      <c r="D79" s="948">
        <f>'3.Hd'!F521</f>
        <v>8.0460722222222198</v>
      </c>
      <c r="E79" s="948">
        <v>0</v>
      </c>
      <c r="F79" s="948">
        <v>0</v>
      </c>
      <c r="G79" s="948">
        <v>0</v>
      </c>
      <c r="H79" s="533">
        <f t="shared" si="1"/>
        <v>8.0460722222222198</v>
      </c>
    </row>
    <row r="80" spans="1:8">
      <c r="A80" s="1377"/>
      <c r="B80" s="1490"/>
      <c r="C80" s="921" t="s">
        <v>19</v>
      </c>
      <c r="D80" s="948">
        <f>'3.Hd'!F522</f>
        <v>18.037433333333333</v>
      </c>
      <c r="E80" s="948">
        <v>0</v>
      </c>
      <c r="F80" s="948">
        <v>0</v>
      </c>
      <c r="G80" s="948">
        <v>0</v>
      </c>
      <c r="H80" s="533">
        <f t="shared" si="1"/>
        <v>18.037433333333333</v>
      </c>
    </row>
    <row r="81" spans="1:12">
      <c r="A81" s="1377"/>
      <c r="B81" s="1490"/>
      <c r="C81" s="947" t="s">
        <v>588</v>
      </c>
      <c r="D81" s="948">
        <f>'3.Hd'!F523</f>
        <v>4.7849999999999993</v>
      </c>
      <c r="E81" s="948">
        <v>0</v>
      </c>
      <c r="F81" s="948">
        <v>0</v>
      </c>
      <c r="G81" s="948">
        <v>0</v>
      </c>
      <c r="H81" s="533">
        <f t="shared" si="1"/>
        <v>4.7849999999999993</v>
      </c>
      <c r="I81" s="536">
        <f>SUM(H22:H81)</f>
        <v>976.95106666666607</v>
      </c>
    </row>
    <row r="82" spans="1:12" ht="15" customHeight="1">
      <c r="A82" s="1743" t="s">
        <v>863</v>
      </c>
      <c r="B82" s="1743"/>
      <c r="C82" s="1743"/>
      <c r="D82" s="67"/>
      <c r="E82" s="508">
        <f>'4.Hu'!H10</f>
        <v>20.247638426985276</v>
      </c>
      <c r="F82" s="508">
        <v>0</v>
      </c>
      <c r="G82" s="508">
        <v>0</v>
      </c>
      <c r="H82" s="534">
        <f t="shared" ref="H82:H105" si="2">D82+E82+F82+G82</f>
        <v>20.247638426985276</v>
      </c>
    </row>
    <row r="83" spans="1:12">
      <c r="A83" s="1743" t="s">
        <v>861</v>
      </c>
      <c r="B83" s="1743"/>
      <c r="C83" s="1743"/>
      <c r="D83" s="67"/>
      <c r="E83" s="508">
        <f>'4.Hu'!H11</f>
        <v>6.1538461538461551</v>
      </c>
      <c r="F83" s="508">
        <v>0</v>
      </c>
      <c r="G83" s="508">
        <v>0</v>
      </c>
      <c r="H83" s="534">
        <f t="shared" si="2"/>
        <v>6.1538461538461551</v>
      </c>
      <c r="I83" s="1069"/>
      <c r="J83" s="1069"/>
      <c r="K83" s="1069"/>
      <c r="L83" s="1069"/>
    </row>
    <row r="84" spans="1:12">
      <c r="A84" s="1744" t="s">
        <v>23</v>
      </c>
      <c r="B84" s="1744"/>
      <c r="C84" s="1744"/>
      <c r="D84" s="67"/>
      <c r="E84" s="508">
        <f>'4.Hu'!H12</f>
        <v>82.251386640856268</v>
      </c>
      <c r="F84" s="508">
        <v>0</v>
      </c>
      <c r="G84" s="508">
        <v>0</v>
      </c>
      <c r="H84" s="534">
        <f t="shared" si="2"/>
        <v>82.251386640856268</v>
      </c>
    </row>
    <row r="85" spans="1:12">
      <c r="A85" s="1744" t="s">
        <v>862</v>
      </c>
      <c r="B85" s="1744"/>
      <c r="C85" s="1744"/>
      <c r="D85" s="67"/>
      <c r="E85" s="508">
        <f>'4.Hu'!H13</f>
        <v>106.54373664036284</v>
      </c>
      <c r="F85" s="508">
        <v>0</v>
      </c>
      <c r="G85" s="508">
        <v>0</v>
      </c>
      <c r="H85" s="534">
        <f t="shared" si="2"/>
        <v>106.54373664036284</v>
      </c>
    </row>
    <row r="86" spans="1:12">
      <c r="A86" s="1744" t="s">
        <v>658</v>
      </c>
      <c r="B86" s="1744"/>
      <c r="C86" s="1744"/>
      <c r="D86" s="67"/>
      <c r="E86" s="508">
        <f>'4.Hu'!F23</f>
        <v>493.12519199999986</v>
      </c>
      <c r="F86" s="508">
        <v>0</v>
      </c>
      <c r="G86" s="508">
        <v>0</v>
      </c>
      <c r="H86" s="534">
        <f t="shared" si="2"/>
        <v>493.12519199999986</v>
      </c>
    </row>
    <row r="87" spans="1:12">
      <c r="A87" s="1743" t="s">
        <v>16</v>
      </c>
      <c r="B87" s="1743"/>
      <c r="C87" s="1748" t="s">
        <v>16</v>
      </c>
      <c r="D87" s="67"/>
      <c r="E87" s="508">
        <f>'4.Hu'!G40</f>
        <v>17.421405563218578</v>
      </c>
      <c r="F87" s="508">
        <v>0</v>
      </c>
      <c r="G87" s="508">
        <v>0</v>
      </c>
      <c r="H87" s="534">
        <f t="shared" si="2"/>
        <v>17.421405563218578</v>
      </c>
    </row>
    <row r="88" spans="1:12">
      <c r="A88" s="1743"/>
      <c r="B88" s="1743"/>
      <c r="C88" s="1748"/>
      <c r="D88" s="67"/>
      <c r="E88" s="508">
        <f>'4.Hu'!G41</f>
        <v>2.5309548033731595</v>
      </c>
      <c r="F88" s="508">
        <v>0</v>
      </c>
      <c r="G88" s="508">
        <v>0</v>
      </c>
      <c r="H88" s="534">
        <f t="shared" si="2"/>
        <v>2.5309548033731595</v>
      </c>
    </row>
    <row r="89" spans="1:12">
      <c r="A89" s="1743"/>
      <c r="B89" s="1743"/>
      <c r="C89" s="1748"/>
      <c r="D89" s="67"/>
      <c r="E89" s="508">
        <f>'4.Hu'!G42</f>
        <v>6.3273870084328987</v>
      </c>
      <c r="F89" s="508">
        <v>0</v>
      </c>
      <c r="G89" s="508">
        <v>0</v>
      </c>
      <c r="H89" s="534">
        <f t="shared" si="2"/>
        <v>6.3273870084328987</v>
      </c>
    </row>
    <row r="90" spans="1:12">
      <c r="A90" s="1743"/>
      <c r="B90" s="1743"/>
      <c r="C90" s="1748"/>
      <c r="D90" s="67"/>
      <c r="E90" s="508">
        <f>'4.Hu'!G43</f>
        <v>7.0444908693886266</v>
      </c>
      <c r="F90" s="508">
        <v>0</v>
      </c>
      <c r="G90" s="508">
        <v>0</v>
      </c>
      <c r="H90" s="534">
        <f t="shared" si="2"/>
        <v>7.0444908693886266</v>
      </c>
    </row>
    <row r="91" spans="1:12">
      <c r="A91" s="1743"/>
      <c r="B91" s="1743"/>
      <c r="C91" s="1748"/>
      <c r="D91" s="67"/>
      <c r="E91" s="87">
        <f>'4.Hu'!G44</f>
        <v>17.29485782304992</v>
      </c>
      <c r="F91" s="508">
        <v>0</v>
      </c>
      <c r="G91" s="508">
        <v>0</v>
      </c>
      <c r="H91" s="534">
        <f t="shared" si="2"/>
        <v>17.29485782304992</v>
      </c>
    </row>
    <row r="92" spans="1:12">
      <c r="A92" s="1743"/>
      <c r="B92" s="1743"/>
      <c r="C92" s="1748"/>
      <c r="D92" s="67"/>
      <c r="E92" s="508">
        <f>'4.Hu'!G45</f>
        <v>17.421405563218578</v>
      </c>
      <c r="F92" s="508">
        <v>0</v>
      </c>
      <c r="G92" s="508">
        <v>0</v>
      </c>
      <c r="H92" s="534">
        <f t="shared" si="2"/>
        <v>17.421405563218578</v>
      </c>
    </row>
    <row r="93" spans="1:12">
      <c r="A93" s="1743"/>
      <c r="B93" s="1743"/>
      <c r="C93" s="1748"/>
      <c r="D93" s="67"/>
      <c r="E93" s="87">
        <f>'4.Hu'!G46</f>
        <v>2.5309548033731595</v>
      </c>
      <c r="F93" s="508">
        <v>0</v>
      </c>
      <c r="G93" s="508">
        <v>0</v>
      </c>
      <c r="H93" s="534">
        <f t="shared" si="2"/>
        <v>2.5309548033731595</v>
      </c>
    </row>
    <row r="94" spans="1:12">
      <c r="A94" s="1743"/>
      <c r="B94" s="1743"/>
      <c r="C94" s="1748"/>
      <c r="D94" s="67"/>
      <c r="E94" s="508">
        <f>'4.Hu'!G47</f>
        <v>6.3273870084328987</v>
      </c>
      <c r="F94" s="508">
        <v>0</v>
      </c>
      <c r="G94" s="993">
        <v>0</v>
      </c>
      <c r="H94" s="534">
        <f t="shared" si="2"/>
        <v>6.3273870084328987</v>
      </c>
    </row>
    <row r="95" spans="1:12">
      <c r="A95" s="1743"/>
      <c r="B95" s="1743"/>
      <c r="C95" s="1748"/>
      <c r="D95" s="67"/>
      <c r="E95" s="993">
        <f>'4.Hu'!G48</f>
        <v>7.0444908693886266</v>
      </c>
      <c r="F95" s="993">
        <v>0</v>
      </c>
      <c r="G95" s="993">
        <v>0</v>
      </c>
      <c r="H95" s="534">
        <f t="shared" si="2"/>
        <v>7.0444908693886266</v>
      </c>
    </row>
    <row r="96" spans="1:12">
      <c r="A96" s="1743"/>
      <c r="B96" s="1743"/>
      <c r="C96" s="1748"/>
      <c r="D96" s="67"/>
      <c r="E96" s="993">
        <f>'4.Hu'!G49</f>
        <v>17.29485782304992</v>
      </c>
      <c r="F96" s="993">
        <v>0</v>
      </c>
      <c r="G96" s="993">
        <v>0</v>
      </c>
      <c r="H96" s="534">
        <f t="shared" si="2"/>
        <v>17.29485782304992</v>
      </c>
    </row>
    <row r="97" spans="1:15">
      <c r="A97" s="1749" t="s">
        <v>23</v>
      </c>
      <c r="B97" s="1750"/>
      <c r="C97" s="1495" t="s">
        <v>23</v>
      </c>
      <c r="D97" s="67"/>
      <c r="E97" s="87">
        <f>'4.Hu'!G50</f>
        <v>31.416753045822755</v>
      </c>
      <c r="F97" s="508">
        <v>0</v>
      </c>
      <c r="G97" s="508">
        <v>0</v>
      </c>
      <c r="H97" s="534">
        <f t="shared" si="2"/>
        <v>31.416753045822755</v>
      </c>
    </row>
    <row r="98" spans="1:15">
      <c r="A98" s="1745"/>
      <c r="B98" s="1746"/>
      <c r="C98" s="1496"/>
      <c r="D98" s="67"/>
      <c r="E98" s="508">
        <f>'4.Hu'!G51</f>
        <v>31.416753045822755</v>
      </c>
      <c r="F98" s="508">
        <v>0</v>
      </c>
      <c r="G98" s="508">
        <v>0</v>
      </c>
      <c r="H98" s="534">
        <f t="shared" si="2"/>
        <v>31.416753045822755</v>
      </c>
    </row>
    <row r="99" spans="1:15">
      <c r="A99" s="1745"/>
      <c r="B99" s="1746"/>
      <c r="C99" s="1497"/>
      <c r="D99" s="67"/>
      <c r="E99" s="87">
        <f>'4.Hu'!G52</f>
        <v>8.9595925352901933</v>
      </c>
      <c r="F99" s="508">
        <v>0</v>
      </c>
      <c r="G99" s="508">
        <v>0</v>
      </c>
      <c r="H99" s="534">
        <f t="shared" si="2"/>
        <v>8.9595925352901933</v>
      </c>
    </row>
    <row r="100" spans="1:15">
      <c r="A100" s="1745" t="s">
        <v>862</v>
      </c>
      <c r="B100" s="1746"/>
      <c r="C100" s="1495" t="s">
        <v>862</v>
      </c>
      <c r="D100" s="67"/>
      <c r="E100" s="508">
        <f>'4.Hu'!G53</f>
        <v>0</v>
      </c>
      <c r="F100" s="508">
        <v>0</v>
      </c>
      <c r="G100" s="508">
        <v>0</v>
      </c>
      <c r="H100" s="534">
        <f t="shared" si="2"/>
        <v>0</v>
      </c>
    </row>
    <row r="101" spans="1:15">
      <c r="A101" s="1745"/>
      <c r="B101" s="1746"/>
      <c r="C101" s="1496"/>
      <c r="D101" s="67"/>
      <c r="E101" s="87">
        <f>'4.Hu'!G54</f>
        <v>31.416753045822755</v>
      </c>
      <c r="F101" s="508">
        <v>0</v>
      </c>
      <c r="G101" s="508">
        <v>0</v>
      </c>
      <c r="H101" s="534">
        <f t="shared" si="2"/>
        <v>31.416753045822755</v>
      </c>
    </row>
    <row r="102" spans="1:15">
      <c r="A102" s="1745"/>
      <c r="B102" s="1746"/>
      <c r="C102" s="1496"/>
      <c r="D102" s="67"/>
      <c r="E102" s="508">
        <f>'4.Hu'!G55</f>
        <v>31.416753045822755</v>
      </c>
      <c r="F102" s="508">
        <v>0</v>
      </c>
      <c r="G102" s="508">
        <v>0</v>
      </c>
      <c r="H102" s="534">
        <f t="shared" si="2"/>
        <v>31.416753045822755</v>
      </c>
    </row>
    <row r="103" spans="1:15">
      <c r="A103" s="1745"/>
      <c r="B103" s="1746"/>
      <c r="C103" s="1496"/>
      <c r="D103" s="67"/>
      <c r="E103" s="87">
        <f>'4.Hu'!G56</f>
        <v>8.9595925352901933</v>
      </c>
      <c r="F103" s="508">
        <v>0</v>
      </c>
      <c r="G103" s="508">
        <v>0</v>
      </c>
      <c r="H103" s="534">
        <f t="shared" si="2"/>
        <v>8.9595925352901933</v>
      </c>
    </row>
    <row r="104" spans="1:15">
      <c r="A104" s="1745"/>
      <c r="B104" s="1746"/>
      <c r="C104" s="1497"/>
      <c r="D104" s="67"/>
      <c r="E104" s="508">
        <f>'4.Hu'!G57</f>
        <v>0</v>
      </c>
      <c r="F104" s="508">
        <v>0</v>
      </c>
      <c r="G104" s="508">
        <v>0</v>
      </c>
      <c r="H104" s="534">
        <f t="shared" si="2"/>
        <v>0</v>
      </c>
    </row>
    <row r="105" spans="1:15">
      <c r="A105" s="1745" t="s">
        <v>658</v>
      </c>
      <c r="B105" s="1747"/>
      <c r="C105" s="1746"/>
      <c r="D105" s="67"/>
      <c r="E105" s="508">
        <f>'4.Hu'!F72</f>
        <v>48.17593333333334</v>
      </c>
      <c r="F105" s="508">
        <v>0</v>
      </c>
      <c r="G105" s="508">
        <v>0</v>
      </c>
      <c r="H105" s="534">
        <f t="shared" si="2"/>
        <v>48.17593333333334</v>
      </c>
      <c r="I105" s="535">
        <f>SUM(H82:H105)</f>
        <v>1001.3221225841812</v>
      </c>
    </row>
    <row r="106" spans="1:15">
      <c r="H106" s="87">
        <f>SUM(H22:H105)</f>
        <v>1978.2731892508473</v>
      </c>
    </row>
    <row r="110" spans="1:15">
      <c r="A110" s="150" t="s">
        <v>0</v>
      </c>
      <c r="B110" s="1402" t="s">
        <v>566</v>
      </c>
      <c r="C110" s="1403"/>
      <c r="D110" s="1403"/>
      <c r="E110" s="1404"/>
      <c r="F110" s="1508"/>
      <c r="G110" s="1402" t="s">
        <v>567</v>
      </c>
      <c r="H110" s="1403"/>
      <c r="I110" s="1403"/>
      <c r="J110" s="1403"/>
      <c r="K110" s="1404"/>
      <c r="L110" s="1352" t="s">
        <v>5</v>
      </c>
      <c r="M110" s="1353"/>
      <c r="N110" s="1352" t="s">
        <v>6</v>
      </c>
      <c r="O110" s="1353"/>
    </row>
    <row r="111" spans="1:15" ht="24">
      <c r="A111" s="47">
        <v>8</v>
      </c>
      <c r="B111" s="1511" t="s">
        <v>341</v>
      </c>
      <c r="C111" s="1512"/>
      <c r="D111" s="1512"/>
      <c r="E111" s="1513"/>
      <c r="F111" s="1509"/>
      <c r="G111" s="1414" t="s">
        <v>568</v>
      </c>
      <c r="H111" s="1415"/>
      <c r="I111" s="1415"/>
      <c r="J111" s="1415"/>
      <c r="K111" s="1416"/>
      <c r="L111" s="1391" t="s">
        <v>573</v>
      </c>
      <c r="M111" s="1392"/>
      <c r="N111" s="1391" t="str">
        <f>N2</f>
        <v>X</v>
      </c>
      <c r="O111" s="1392"/>
    </row>
    <row r="112" spans="1:15">
      <c r="A112" s="48" t="s">
        <v>63</v>
      </c>
      <c r="B112" s="1514"/>
      <c r="C112" s="1515"/>
      <c r="D112" s="1515"/>
      <c r="E112" s="1516"/>
      <c r="F112" s="1510"/>
      <c r="G112" s="1354" t="str">
        <f>'1.Dati'!G3:K3</f>
        <v>LAB. INTEGR. DI PROG. TECN. (TERMOFISICA DELL'EDIFICIO) a.a. 2019/2020</v>
      </c>
      <c r="H112" s="1355"/>
      <c r="I112" s="1355"/>
      <c r="J112" s="1355"/>
      <c r="K112" s="1356"/>
      <c r="L112" s="1357" t="s">
        <v>1028</v>
      </c>
      <c r="M112" s="1358"/>
      <c r="N112" s="1357" t="str">
        <f>N3</f>
        <v>Y</v>
      </c>
      <c r="O112" s="1358"/>
    </row>
    <row r="115" spans="1:25" ht="16" thickBot="1"/>
    <row r="116" spans="1:25" ht="15" customHeight="1" thickBot="1">
      <c r="A116" s="1737" t="s">
        <v>884</v>
      </c>
      <c r="B116" s="1738"/>
      <c r="C116" s="1741" t="s">
        <v>417</v>
      </c>
      <c r="D116" s="1741" t="s">
        <v>418</v>
      </c>
      <c r="E116" s="1741" t="s">
        <v>216</v>
      </c>
      <c r="F116" s="1741"/>
      <c r="G116" s="1741"/>
      <c r="H116" s="1741" t="s">
        <v>419</v>
      </c>
      <c r="I116" s="1760" t="s">
        <v>403</v>
      </c>
      <c r="J116" s="360" t="s">
        <v>575</v>
      </c>
    </row>
    <row r="117" spans="1:25" ht="14.25" customHeight="1">
      <c r="A117" s="1739"/>
      <c r="B117" s="1740"/>
      <c r="C117" s="1742"/>
      <c r="D117" s="1742"/>
      <c r="E117" s="1742"/>
      <c r="F117" s="1742"/>
      <c r="G117" s="1742"/>
      <c r="H117" s="1742"/>
      <c r="I117" s="1742"/>
    </row>
    <row r="118" spans="1:25" ht="15" customHeight="1">
      <c r="A118" s="1752" t="s">
        <v>883</v>
      </c>
      <c r="B118" s="1753"/>
      <c r="C118" s="102" t="s">
        <v>351</v>
      </c>
      <c r="D118" s="102" t="s">
        <v>351</v>
      </c>
      <c r="E118" s="102" t="s">
        <v>217</v>
      </c>
      <c r="F118" s="102"/>
      <c r="G118" s="102"/>
      <c r="H118" s="102" t="s">
        <v>218</v>
      </c>
      <c r="I118" s="102" t="s">
        <v>218</v>
      </c>
      <c r="K118" s="20"/>
      <c r="L118" s="506"/>
      <c r="M118" s="510"/>
      <c r="N118" s="59" t="s">
        <v>604</v>
      </c>
      <c r="O118" s="510"/>
      <c r="P118" s="20"/>
      <c r="Q118" s="20"/>
      <c r="R118" s="20"/>
      <c r="S118" s="51"/>
      <c r="T118" s="20"/>
      <c r="U118" s="20"/>
      <c r="V118" s="20"/>
      <c r="W118" s="20"/>
      <c r="X118" s="20"/>
      <c r="Y118" s="19"/>
    </row>
    <row r="119" spans="1:25">
      <c r="A119" s="1754" t="s">
        <v>213</v>
      </c>
      <c r="B119" s="1755"/>
      <c r="C119" s="255"/>
      <c r="D119" s="144"/>
      <c r="E119" s="255"/>
      <c r="F119" s="340"/>
      <c r="G119" s="340"/>
      <c r="H119" s="144"/>
      <c r="I119" s="144"/>
      <c r="K119" s="1379" t="s">
        <v>374</v>
      </c>
      <c r="L119" s="1380"/>
      <c r="M119" s="1381"/>
      <c r="N119" s="337" t="s">
        <v>204</v>
      </c>
      <c r="O119" s="337" t="s">
        <v>205</v>
      </c>
      <c r="P119" s="337" t="s">
        <v>206</v>
      </c>
      <c r="Q119" s="337" t="s">
        <v>207</v>
      </c>
      <c r="R119" s="337" t="s">
        <v>208</v>
      </c>
      <c r="S119" s="337" t="s">
        <v>209</v>
      </c>
      <c r="T119" s="337" t="s">
        <v>210</v>
      </c>
      <c r="U119" s="337" t="s">
        <v>211</v>
      </c>
      <c r="V119" s="337" t="s">
        <v>212</v>
      </c>
      <c r="W119" s="337" t="s">
        <v>213</v>
      </c>
      <c r="X119" s="337" t="s">
        <v>214</v>
      </c>
      <c r="Y119" s="337" t="s">
        <v>215</v>
      </c>
    </row>
    <row r="120" spans="1:25">
      <c r="A120" s="1754" t="s">
        <v>214</v>
      </c>
      <c r="B120" s="1755"/>
      <c r="C120" s="255">
        <v>20</v>
      </c>
      <c r="D120" s="139">
        <f>X121</f>
        <v>15.5</v>
      </c>
      <c r="E120" s="255">
        <f>(24*30)/2</f>
        <v>360</v>
      </c>
      <c r="F120" s="341"/>
      <c r="G120" s="341"/>
      <c r="H120" s="507">
        <f t="shared" ref="H120:H124" si="3">(G11*(C120-D120)*E120)/1000</f>
        <v>3204.8025665863743</v>
      </c>
      <c r="I120" s="144">
        <f t="shared" ref="I120:I123" si="4">G120+H120</f>
        <v>3204.8025665863743</v>
      </c>
      <c r="K120" s="1382"/>
      <c r="L120" s="1383"/>
      <c r="M120" s="1384"/>
      <c r="N120" s="338" t="s">
        <v>351</v>
      </c>
      <c r="O120" s="338" t="s">
        <v>351</v>
      </c>
      <c r="P120" s="338" t="s">
        <v>351</v>
      </c>
      <c r="Q120" s="338" t="s">
        <v>351</v>
      </c>
      <c r="R120" s="338" t="s">
        <v>351</v>
      </c>
      <c r="S120" s="338" t="s">
        <v>351</v>
      </c>
      <c r="T120" s="338" t="s">
        <v>351</v>
      </c>
      <c r="U120" s="338" t="s">
        <v>351</v>
      </c>
      <c r="V120" s="338" t="s">
        <v>351</v>
      </c>
      <c r="W120" s="338" t="s">
        <v>351</v>
      </c>
      <c r="X120" s="338" t="s">
        <v>351</v>
      </c>
      <c r="Y120" s="338" t="s">
        <v>351</v>
      </c>
    </row>
    <row r="121" spans="1:25">
      <c r="A121" s="1751" t="s">
        <v>215</v>
      </c>
      <c r="B121" s="1751"/>
      <c r="C121" s="255">
        <v>20</v>
      </c>
      <c r="D121" s="139">
        <f>Y121</f>
        <v>11.7</v>
      </c>
      <c r="E121" s="255">
        <f>24*31</f>
        <v>744</v>
      </c>
      <c r="F121" s="341"/>
      <c r="G121" s="341"/>
      <c r="H121" s="507">
        <f t="shared" si="3"/>
        <v>12216.232598261839</v>
      </c>
      <c r="I121" s="144">
        <f t="shared" si="4"/>
        <v>12216.232598261839</v>
      </c>
      <c r="K121" s="1385" t="s">
        <v>829</v>
      </c>
      <c r="L121" s="1386"/>
      <c r="M121" s="1387"/>
      <c r="N121" s="505">
        <f>'1.Dati'!D30</f>
        <v>10.3</v>
      </c>
      <c r="O121" s="505">
        <f>'1.Dati'!E30</f>
        <v>10.8</v>
      </c>
      <c r="P121" s="505">
        <f>'1.Dati'!F30</f>
        <v>12.8</v>
      </c>
      <c r="Q121" s="505">
        <f>'1.Dati'!G30</f>
        <v>15.1</v>
      </c>
      <c r="R121" s="505">
        <f>'1.Dati'!H30</f>
        <v>18.399999999999999</v>
      </c>
      <c r="S121" s="505">
        <f>'1.Dati'!I30</f>
        <v>22.9</v>
      </c>
      <c r="T121" s="505">
        <f>'1.Dati'!J30</f>
        <v>25.5</v>
      </c>
      <c r="U121" s="505">
        <f>'1.Dati'!K30</f>
        <v>25.5</v>
      </c>
      <c r="V121" s="505">
        <f>'1.Dati'!L30</f>
        <v>23.3</v>
      </c>
      <c r="W121" s="505">
        <f>'1.Dati'!M30</f>
        <v>19.399999999999999</v>
      </c>
      <c r="X121" s="505">
        <f>'1.Dati'!N30</f>
        <v>15.5</v>
      </c>
      <c r="Y121" s="505">
        <f>'1.Dati'!O30</f>
        <v>11.7</v>
      </c>
    </row>
    <row r="122" spans="1:25">
      <c r="A122" s="1751" t="s">
        <v>204</v>
      </c>
      <c r="B122" s="1751"/>
      <c r="C122" s="255">
        <v>20</v>
      </c>
      <c r="D122" s="139">
        <f>N121</f>
        <v>10.3</v>
      </c>
      <c r="E122" s="255">
        <f>24*31</f>
        <v>744</v>
      </c>
      <c r="F122" s="341"/>
      <c r="G122" s="341"/>
      <c r="H122" s="507">
        <f t="shared" si="3"/>
        <v>14276.80195218552</v>
      </c>
      <c r="I122" s="144">
        <f t="shared" si="4"/>
        <v>14276.80195218552</v>
      </c>
    </row>
    <row r="123" spans="1:25">
      <c r="A123" s="1751" t="s">
        <v>205</v>
      </c>
      <c r="B123" s="1751"/>
      <c r="C123" s="255">
        <v>20</v>
      </c>
      <c r="D123" s="139">
        <f>O121</f>
        <v>10.8</v>
      </c>
      <c r="E123" s="255">
        <f>24*29</f>
        <v>696</v>
      </c>
      <c r="F123" s="341"/>
      <c r="G123" s="341"/>
      <c r="H123" s="507">
        <f t="shared" si="3"/>
        <v>12667.278885411029</v>
      </c>
      <c r="I123" s="144">
        <f t="shared" si="4"/>
        <v>12667.278885411029</v>
      </c>
    </row>
    <row r="124" spans="1:25">
      <c r="A124" s="1751" t="s">
        <v>206</v>
      </c>
      <c r="B124" s="1751"/>
      <c r="C124" s="255">
        <v>20</v>
      </c>
      <c r="D124" s="139">
        <f>P121</f>
        <v>12.8</v>
      </c>
      <c r="E124" s="255">
        <f>24*31</f>
        <v>744</v>
      </c>
      <c r="F124" s="341"/>
      <c r="G124" s="341"/>
      <c r="H124" s="565">
        <f t="shared" si="3"/>
        <v>10597.213820178942</v>
      </c>
      <c r="I124" s="565">
        <f t="shared" ref="I124" si="5">G124+H124</f>
        <v>10597.213820178942</v>
      </c>
    </row>
    <row r="125" spans="1:25">
      <c r="A125" s="1751" t="s">
        <v>207</v>
      </c>
      <c r="B125" s="1751"/>
      <c r="C125" s="255"/>
      <c r="D125" s="567"/>
      <c r="E125" s="255"/>
      <c r="F125" s="567"/>
      <c r="G125" s="567"/>
      <c r="H125" s="565"/>
      <c r="I125" s="565"/>
    </row>
    <row r="127" spans="1:25" ht="16" thickBot="1"/>
    <row r="128" spans="1:25" ht="16.5" customHeight="1" thickBot="1">
      <c r="A128" s="1761" t="s">
        <v>662</v>
      </c>
      <c r="B128" s="1762"/>
      <c r="C128" s="1763"/>
      <c r="D128" s="1106"/>
      <c r="E128" s="1048" t="s">
        <v>213</v>
      </c>
      <c r="F128" s="1107"/>
      <c r="G128" s="1106"/>
      <c r="H128" s="1048" t="s">
        <v>214</v>
      </c>
      <c r="I128" s="1107"/>
      <c r="J128" s="1106"/>
      <c r="K128" s="1048" t="s">
        <v>215</v>
      </c>
      <c r="L128" s="1107"/>
      <c r="O128" s="360" t="s">
        <v>580</v>
      </c>
    </row>
    <row r="129" spans="1:15" ht="18">
      <c r="A129" s="1761"/>
      <c r="B129" s="1762"/>
      <c r="C129" s="1763"/>
      <c r="D129" s="224"/>
      <c r="E129" s="224" t="s">
        <v>419</v>
      </c>
      <c r="F129" s="224" t="s">
        <v>403</v>
      </c>
      <c r="G129" s="224"/>
      <c r="H129" s="224" t="s">
        <v>419</v>
      </c>
      <c r="I129" s="224" t="s">
        <v>403</v>
      </c>
      <c r="J129" s="224"/>
      <c r="K129" s="224" t="s">
        <v>419</v>
      </c>
      <c r="L129" s="224" t="s">
        <v>403</v>
      </c>
      <c r="O129" s="531" t="s">
        <v>657</v>
      </c>
    </row>
    <row r="130" spans="1:15" ht="15" customHeight="1">
      <c r="A130" s="1769" t="str">
        <f>A118</f>
        <v>15 Novembre - 31 Marzo</v>
      </c>
      <c r="B130" s="1770"/>
      <c r="C130" s="1771"/>
      <c r="D130" s="175"/>
      <c r="E130" s="175" t="s">
        <v>218</v>
      </c>
      <c r="F130" s="175" t="s">
        <v>218</v>
      </c>
      <c r="G130" s="175"/>
      <c r="H130" s="175" t="s">
        <v>218</v>
      </c>
      <c r="I130" s="175" t="s">
        <v>218</v>
      </c>
      <c r="J130" s="175"/>
      <c r="K130" s="175" t="s">
        <v>218</v>
      </c>
      <c r="L130" s="175" t="s">
        <v>218</v>
      </c>
    </row>
    <row r="131" spans="1:15" ht="15" customHeight="1">
      <c r="A131" s="1484" t="s">
        <v>34</v>
      </c>
      <c r="B131" s="1481" t="s">
        <v>809</v>
      </c>
      <c r="C131" s="868" t="s">
        <v>9</v>
      </c>
      <c r="D131" s="1044"/>
      <c r="E131" s="539">
        <f>(H22*($C$119-$D$119)*$E$119)/1000</f>
        <v>0</v>
      </c>
      <c r="F131" s="539">
        <f>D131+E131</f>
        <v>0</v>
      </c>
      <c r="G131" s="1044"/>
      <c r="H131" s="539">
        <f>(H22*($C$120-$D$120)*$E$120)/1000</f>
        <v>36.14341499999999</v>
      </c>
      <c r="I131" s="539">
        <f>G131+H131</f>
        <v>36.14341499999999</v>
      </c>
      <c r="J131" s="1044"/>
      <c r="K131" s="539">
        <f>(H22*($C$121-$D$121)*$E$121)/1000</f>
        <v>137.77334340000002</v>
      </c>
      <c r="L131" s="539">
        <f>J131+K131</f>
        <v>137.77334340000002</v>
      </c>
    </row>
    <row r="132" spans="1:15">
      <c r="A132" s="1485"/>
      <c r="B132" s="1482"/>
      <c r="C132" s="866" t="s">
        <v>804</v>
      </c>
      <c r="D132" s="1044"/>
      <c r="E132" s="539">
        <f t="shared" ref="E132:E195" si="6">(H23*($C$119-$D$119)*$E$119)/1000</f>
        <v>0</v>
      </c>
      <c r="F132" s="539">
        <f t="shared" ref="F132:F195" si="7">D132+E132</f>
        <v>0</v>
      </c>
      <c r="G132" s="1044"/>
      <c r="H132" s="539">
        <f t="shared" ref="H132:H195" si="8">(H23*($C$120-$D$120)*$E$120)/1000</f>
        <v>122.102046</v>
      </c>
      <c r="I132" s="539">
        <f t="shared" ref="I132:I195" si="9">G132+H132</f>
        <v>122.102046</v>
      </c>
      <c r="J132" s="1044"/>
      <c r="K132" s="539">
        <f t="shared" ref="K132:K195" si="10">(H23*($C$121-$D$121)*$E$121)/1000</f>
        <v>465.43491016000002</v>
      </c>
      <c r="L132" s="539">
        <f t="shared" ref="L132:L195" si="11">J132+K132</f>
        <v>465.43491016000002</v>
      </c>
    </row>
    <row r="133" spans="1:15">
      <c r="A133" s="1485"/>
      <c r="B133" s="1482"/>
      <c r="C133" s="866" t="s">
        <v>22</v>
      </c>
      <c r="D133" s="1044"/>
      <c r="E133" s="539">
        <f t="shared" si="6"/>
        <v>0</v>
      </c>
      <c r="F133" s="539">
        <f t="shared" si="7"/>
        <v>0</v>
      </c>
      <c r="G133" s="1044"/>
      <c r="H133" s="539">
        <f t="shared" si="8"/>
        <v>3.7600200000000004</v>
      </c>
      <c r="I133" s="539">
        <f t="shared" si="9"/>
        <v>3.7600200000000004</v>
      </c>
      <c r="J133" s="1044"/>
      <c r="K133" s="539">
        <f t="shared" si="10"/>
        <v>14.332639200000001</v>
      </c>
      <c r="L133" s="539">
        <f t="shared" si="11"/>
        <v>14.332639200000001</v>
      </c>
    </row>
    <row r="134" spans="1:15">
      <c r="A134" s="1485"/>
      <c r="B134" s="1482"/>
      <c r="C134" s="866" t="s">
        <v>803</v>
      </c>
      <c r="D134" s="1044"/>
      <c r="E134" s="539">
        <f t="shared" si="6"/>
        <v>0</v>
      </c>
      <c r="F134" s="539">
        <f t="shared" si="7"/>
        <v>0</v>
      </c>
      <c r="G134" s="1044"/>
      <c r="H134" s="539">
        <f t="shared" si="8"/>
        <v>5.6311199999999992</v>
      </c>
      <c r="I134" s="539">
        <f t="shared" si="9"/>
        <v>5.6311199999999992</v>
      </c>
      <c r="J134" s="1044"/>
      <c r="K134" s="539">
        <f t="shared" si="10"/>
        <v>21.464995200000001</v>
      </c>
      <c r="L134" s="539">
        <f t="shared" si="11"/>
        <v>21.464995200000001</v>
      </c>
    </row>
    <row r="135" spans="1:15">
      <c r="A135" s="1485"/>
      <c r="B135" s="1482"/>
      <c r="C135" s="866" t="s">
        <v>802</v>
      </c>
      <c r="D135" s="1044"/>
      <c r="E135" s="539">
        <f t="shared" si="6"/>
        <v>0</v>
      </c>
      <c r="F135" s="539">
        <f t="shared" si="7"/>
        <v>0</v>
      </c>
      <c r="G135" s="1044"/>
      <c r="H135" s="539">
        <f t="shared" si="8"/>
        <v>25.620011999999996</v>
      </c>
      <c r="I135" s="539">
        <f t="shared" si="9"/>
        <v>25.620011999999996</v>
      </c>
      <c r="J135" s="1044"/>
      <c r="K135" s="539">
        <f t="shared" si="10"/>
        <v>97.65969018666668</v>
      </c>
      <c r="L135" s="539">
        <f t="shared" si="11"/>
        <v>97.65969018666668</v>
      </c>
    </row>
    <row r="136" spans="1:15">
      <c r="A136" s="1485"/>
      <c r="B136" s="1482"/>
      <c r="C136" s="866" t="s">
        <v>587</v>
      </c>
      <c r="D136" s="1044"/>
      <c r="E136" s="539">
        <f t="shared" si="6"/>
        <v>0</v>
      </c>
      <c r="F136" s="539">
        <f t="shared" si="7"/>
        <v>0</v>
      </c>
      <c r="G136" s="1044"/>
      <c r="H136" s="539">
        <f t="shared" si="8"/>
        <v>13.266296999999996</v>
      </c>
      <c r="I136" s="539">
        <f t="shared" si="9"/>
        <v>13.266296999999996</v>
      </c>
      <c r="J136" s="1044"/>
      <c r="K136" s="539">
        <f t="shared" si="10"/>
        <v>50.569158786666662</v>
      </c>
      <c r="L136" s="539">
        <f t="shared" si="11"/>
        <v>50.569158786666662</v>
      </c>
    </row>
    <row r="137" spans="1:15">
      <c r="A137" s="1485"/>
      <c r="B137" s="1482"/>
      <c r="C137" s="866" t="s">
        <v>20</v>
      </c>
      <c r="D137" s="1044"/>
      <c r="E137" s="539">
        <f t="shared" si="6"/>
        <v>0</v>
      </c>
      <c r="F137" s="539">
        <f t="shared" si="7"/>
        <v>0</v>
      </c>
      <c r="G137" s="1044"/>
      <c r="H137" s="539">
        <f t="shared" si="8"/>
        <v>35.643068999999997</v>
      </c>
      <c r="I137" s="539">
        <f t="shared" si="9"/>
        <v>35.643068999999997</v>
      </c>
      <c r="J137" s="1044"/>
      <c r="K137" s="539">
        <f t="shared" si="10"/>
        <v>135.86609857333332</v>
      </c>
      <c r="L137" s="539">
        <f t="shared" si="11"/>
        <v>135.86609857333332</v>
      </c>
    </row>
    <row r="138" spans="1:15">
      <c r="A138" s="1485"/>
      <c r="B138" s="1482"/>
      <c r="C138" s="866" t="s">
        <v>586</v>
      </c>
      <c r="D138" s="1044"/>
      <c r="E138" s="539">
        <f t="shared" si="6"/>
        <v>0</v>
      </c>
      <c r="F138" s="539">
        <f t="shared" si="7"/>
        <v>0</v>
      </c>
      <c r="G138" s="320"/>
      <c r="H138" s="539">
        <f t="shared" si="8"/>
        <v>14.157296999999998</v>
      </c>
      <c r="I138" s="539">
        <f t="shared" si="9"/>
        <v>14.157296999999998</v>
      </c>
      <c r="J138" s="320"/>
      <c r="K138" s="539">
        <f t="shared" si="10"/>
        <v>53.965518786666671</v>
      </c>
      <c r="L138" s="539">
        <f t="shared" si="11"/>
        <v>53.965518786666671</v>
      </c>
    </row>
    <row r="139" spans="1:15" ht="15" customHeight="1">
      <c r="A139" s="1485"/>
      <c r="B139" s="1482"/>
      <c r="C139" s="866" t="s">
        <v>19</v>
      </c>
      <c r="D139" s="1044"/>
      <c r="E139" s="539">
        <f t="shared" si="6"/>
        <v>0</v>
      </c>
      <c r="F139" s="539">
        <f t="shared" si="7"/>
        <v>0</v>
      </c>
      <c r="G139" s="1044"/>
      <c r="H139" s="539">
        <f t="shared" si="8"/>
        <v>33.016302000000003</v>
      </c>
      <c r="I139" s="539">
        <f t="shared" si="9"/>
        <v>33.016302000000003</v>
      </c>
      <c r="J139" s="1044"/>
      <c r="K139" s="539">
        <f t="shared" si="10"/>
        <v>125.85325192000001</v>
      </c>
      <c r="L139" s="539">
        <f t="shared" si="11"/>
        <v>125.85325192000001</v>
      </c>
    </row>
    <row r="140" spans="1:15">
      <c r="A140" s="1485"/>
      <c r="B140" s="1483"/>
      <c r="C140" s="866" t="s">
        <v>588</v>
      </c>
      <c r="D140" s="1044"/>
      <c r="E140" s="539">
        <f t="shared" si="6"/>
        <v>0</v>
      </c>
      <c r="F140" s="539">
        <f t="shared" si="7"/>
        <v>0</v>
      </c>
      <c r="G140" s="1044"/>
      <c r="H140" s="539">
        <f t="shared" si="8"/>
        <v>7.7516999999999978</v>
      </c>
      <c r="I140" s="539">
        <f t="shared" si="9"/>
        <v>7.7516999999999978</v>
      </c>
      <c r="J140" s="1044"/>
      <c r="K140" s="539">
        <f t="shared" si="10"/>
        <v>29.548331999999998</v>
      </c>
      <c r="L140" s="539">
        <f t="shared" si="11"/>
        <v>29.548331999999998</v>
      </c>
    </row>
    <row r="141" spans="1:15">
      <c r="A141" s="1485"/>
      <c r="B141" s="1487" t="s">
        <v>810</v>
      </c>
      <c r="C141" s="868" t="s">
        <v>9</v>
      </c>
      <c r="D141" s="1044"/>
      <c r="E141" s="539">
        <f t="shared" si="6"/>
        <v>0</v>
      </c>
      <c r="F141" s="539">
        <f t="shared" si="7"/>
        <v>0</v>
      </c>
      <c r="G141" s="1044"/>
      <c r="H141" s="539">
        <f t="shared" si="8"/>
        <v>36.14341499999999</v>
      </c>
      <c r="I141" s="539">
        <f t="shared" si="9"/>
        <v>36.14341499999999</v>
      </c>
      <c r="J141" s="1044"/>
      <c r="K141" s="539">
        <f t="shared" si="10"/>
        <v>137.77334340000002</v>
      </c>
      <c r="L141" s="539">
        <f t="shared" si="11"/>
        <v>137.77334340000002</v>
      </c>
    </row>
    <row r="142" spans="1:15">
      <c r="A142" s="1485"/>
      <c r="B142" s="1488"/>
      <c r="C142" s="866" t="s">
        <v>804</v>
      </c>
      <c r="D142" s="1044"/>
      <c r="E142" s="539">
        <f t="shared" si="6"/>
        <v>0</v>
      </c>
      <c r="F142" s="539">
        <f t="shared" si="7"/>
        <v>0</v>
      </c>
      <c r="G142" s="1044"/>
      <c r="H142" s="539">
        <f t="shared" si="8"/>
        <v>122.102046</v>
      </c>
      <c r="I142" s="539">
        <f t="shared" si="9"/>
        <v>122.102046</v>
      </c>
      <c r="J142" s="1044"/>
      <c r="K142" s="539">
        <f t="shared" si="10"/>
        <v>465.43491016000002</v>
      </c>
      <c r="L142" s="539">
        <f t="shared" si="11"/>
        <v>465.43491016000002</v>
      </c>
    </row>
    <row r="143" spans="1:15">
      <c r="A143" s="1485"/>
      <c r="B143" s="1488"/>
      <c r="C143" s="866" t="s">
        <v>22</v>
      </c>
      <c r="D143" s="1044"/>
      <c r="E143" s="539">
        <f t="shared" si="6"/>
        <v>0</v>
      </c>
      <c r="F143" s="539">
        <f t="shared" si="7"/>
        <v>0</v>
      </c>
      <c r="G143" s="1044"/>
      <c r="H143" s="539">
        <f t="shared" si="8"/>
        <v>3.7600200000000004</v>
      </c>
      <c r="I143" s="539">
        <f t="shared" si="9"/>
        <v>3.7600200000000004</v>
      </c>
      <c r="J143" s="1044"/>
      <c r="K143" s="539">
        <f t="shared" si="10"/>
        <v>14.332639200000001</v>
      </c>
      <c r="L143" s="539">
        <f t="shared" si="11"/>
        <v>14.332639200000001</v>
      </c>
    </row>
    <row r="144" spans="1:15">
      <c r="A144" s="1485"/>
      <c r="B144" s="1488"/>
      <c r="C144" s="866" t="s">
        <v>803</v>
      </c>
      <c r="D144" s="1044"/>
      <c r="E144" s="539">
        <f t="shared" si="6"/>
        <v>0</v>
      </c>
      <c r="F144" s="539">
        <f t="shared" si="7"/>
        <v>0</v>
      </c>
      <c r="G144" s="1044"/>
      <c r="H144" s="539">
        <f t="shared" si="8"/>
        <v>6.2191799999999997</v>
      </c>
      <c r="I144" s="539">
        <f t="shared" si="9"/>
        <v>6.2191799999999997</v>
      </c>
      <c r="J144" s="1044"/>
      <c r="K144" s="539">
        <f t="shared" si="10"/>
        <v>23.706592799999999</v>
      </c>
      <c r="L144" s="539">
        <f t="shared" si="11"/>
        <v>23.706592799999999</v>
      </c>
    </row>
    <row r="145" spans="1:12">
      <c r="A145" s="1485"/>
      <c r="B145" s="1488"/>
      <c r="C145" s="866" t="s">
        <v>802</v>
      </c>
      <c r="D145" s="1044"/>
      <c r="E145" s="539">
        <f t="shared" si="6"/>
        <v>0</v>
      </c>
      <c r="F145" s="539">
        <f t="shared" si="7"/>
        <v>0</v>
      </c>
      <c r="G145" s="1044"/>
      <c r="H145" s="539">
        <f t="shared" si="8"/>
        <v>25.620011999999996</v>
      </c>
      <c r="I145" s="539">
        <f t="shared" si="9"/>
        <v>25.620011999999996</v>
      </c>
      <c r="J145" s="1044"/>
      <c r="K145" s="539">
        <f t="shared" si="10"/>
        <v>97.65969018666668</v>
      </c>
      <c r="L145" s="539">
        <f t="shared" si="11"/>
        <v>97.65969018666668</v>
      </c>
    </row>
    <row r="146" spans="1:12">
      <c r="A146" s="1485"/>
      <c r="B146" s="1488"/>
      <c r="C146" s="866" t="s">
        <v>587</v>
      </c>
      <c r="D146" s="1044"/>
      <c r="E146" s="539">
        <f t="shared" si="6"/>
        <v>0</v>
      </c>
      <c r="F146" s="539">
        <f t="shared" si="7"/>
        <v>0</v>
      </c>
      <c r="G146" s="1044"/>
      <c r="H146" s="539">
        <f t="shared" si="8"/>
        <v>13.266296999999996</v>
      </c>
      <c r="I146" s="539">
        <f t="shared" si="9"/>
        <v>13.266296999999996</v>
      </c>
      <c r="J146" s="1044"/>
      <c r="K146" s="539">
        <f t="shared" si="10"/>
        <v>50.569158786666662</v>
      </c>
      <c r="L146" s="539">
        <f t="shared" si="11"/>
        <v>50.569158786666662</v>
      </c>
    </row>
    <row r="147" spans="1:12" ht="15" customHeight="1">
      <c r="A147" s="1485"/>
      <c r="B147" s="1488"/>
      <c r="C147" s="866" t="s">
        <v>20</v>
      </c>
      <c r="D147" s="1044"/>
      <c r="E147" s="539">
        <f t="shared" si="6"/>
        <v>0</v>
      </c>
      <c r="F147" s="539">
        <f t="shared" si="7"/>
        <v>0</v>
      </c>
      <c r="G147" s="1044"/>
      <c r="H147" s="539">
        <f t="shared" si="8"/>
        <v>35.643068999999997</v>
      </c>
      <c r="I147" s="539">
        <f t="shared" si="9"/>
        <v>35.643068999999997</v>
      </c>
      <c r="J147" s="1044"/>
      <c r="K147" s="539">
        <f t="shared" si="10"/>
        <v>135.86609857333332</v>
      </c>
      <c r="L147" s="539">
        <f t="shared" si="11"/>
        <v>135.86609857333332</v>
      </c>
    </row>
    <row r="148" spans="1:12">
      <c r="A148" s="1485"/>
      <c r="B148" s="1488"/>
      <c r="C148" s="866" t="s">
        <v>586</v>
      </c>
      <c r="D148" s="1044"/>
      <c r="E148" s="539">
        <f t="shared" si="6"/>
        <v>0</v>
      </c>
      <c r="F148" s="539">
        <f t="shared" si="7"/>
        <v>0</v>
      </c>
      <c r="G148" s="1044"/>
      <c r="H148" s="539">
        <f t="shared" si="8"/>
        <v>14.157296999999998</v>
      </c>
      <c r="I148" s="539">
        <f t="shared" si="9"/>
        <v>14.157296999999998</v>
      </c>
      <c r="J148" s="1044"/>
      <c r="K148" s="539">
        <f t="shared" si="10"/>
        <v>53.965518786666671</v>
      </c>
      <c r="L148" s="539">
        <f t="shared" si="11"/>
        <v>53.965518786666671</v>
      </c>
    </row>
    <row r="149" spans="1:12">
      <c r="A149" s="1485"/>
      <c r="B149" s="1488"/>
      <c r="C149" s="866" t="s">
        <v>19</v>
      </c>
      <c r="D149" s="1044"/>
      <c r="E149" s="539">
        <f t="shared" si="6"/>
        <v>0</v>
      </c>
      <c r="F149" s="539">
        <f t="shared" si="7"/>
        <v>0</v>
      </c>
      <c r="G149" s="1044"/>
      <c r="H149" s="539">
        <f t="shared" si="8"/>
        <v>33.016302000000003</v>
      </c>
      <c r="I149" s="539">
        <f t="shared" si="9"/>
        <v>33.016302000000003</v>
      </c>
      <c r="J149" s="1044"/>
      <c r="K149" s="539">
        <f t="shared" si="10"/>
        <v>125.85325192000001</v>
      </c>
      <c r="L149" s="539">
        <f t="shared" si="11"/>
        <v>125.85325192000001</v>
      </c>
    </row>
    <row r="150" spans="1:12">
      <c r="A150" s="1486"/>
      <c r="B150" s="1489"/>
      <c r="C150" s="869" t="s">
        <v>588</v>
      </c>
      <c r="D150" s="1044"/>
      <c r="E150" s="539">
        <f t="shared" si="6"/>
        <v>0</v>
      </c>
      <c r="F150" s="539">
        <f t="shared" si="7"/>
        <v>0</v>
      </c>
      <c r="G150" s="1044"/>
      <c r="H150" s="539">
        <f t="shared" si="8"/>
        <v>7.7516999999999978</v>
      </c>
      <c r="I150" s="539">
        <f t="shared" si="9"/>
        <v>7.7516999999999978</v>
      </c>
      <c r="J150" s="1044"/>
      <c r="K150" s="539">
        <f t="shared" si="10"/>
        <v>29.548331999999998</v>
      </c>
      <c r="L150" s="539">
        <f t="shared" si="11"/>
        <v>29.548331999999998</v>
      </c>
    </row>
    <row r="151" spans="1:12">
      <c r="A151" s="1369" t="s">
        <v>835</v>
      </c>
      <c r="B151" s="1481" t="s">
        <v>809</v>
      </c>
      <c r="C151" s="868" t="s">
        <v>9</v>
      </c>
      <c r="D151" s="1044"/>
      <c r="E151" s="539">
        <f t="shared" si="6"/>
        <v>0</v>
      </c>
      <c r="F151" s="539">
        <f t="shared" si="7"/>
        <v>0</v>
      </c>
      <c r="G151" s="1044"/>
      <c r="H151" s="539">
        <f t="shared" si="8"/>
        <v>27.197774999999996</v>
      </c>
      <c r="I151" s="539">
        <f t="shared" si="9"/>
        <v>27.197774999999996</v>
      </c>
      <c r="J151" s="1044"/>
      <c r="K151" s="539">
        <f t="shared" si="10"/>
        <v>103.67388900000002</v>
      </c>
      <c r="L151" s="539">
        <f t="shared" si="11"/>
        <v>103.67388900000002</v>
      </c>
    </row>
    <row r="152" spans="1:12">
      <c r="A152" s="1370"/>
      <c r="B152" s="1482"/>
      <c r="C152" s="866" t="s">
        <v>804</v>
      </c>
      <c r="D152" s="1044"/>
      <c r="E152" s="539">
        <f t="shared" si="6"/>
        <v>0</v>
      </c>
      <c r="F152" s="539">
        <f t="shared" si="7"/>
        <v>0</v>
      </c>
      <c r="G152" s="1044"/>
      <c r="H152" s="539">
        <f t="shared" si="8"/>
        <v>99.452826000000002</v>
      </c>
      <c r="I152" s="539">
        <f t="shared" si="9"/>
        <v>99.452826000000002</v>
      </c>
      <c r="J152" s="1044"/>
      <c r="K152" s="539">
        <f t="shared" si="10"/>
        <v>379.0994389600001</v>
      </c>
      <c r="L152" s="539">
        <f t="shared" si="11"/>
        <v>379.0994389600001</v>
      </c>
    </row>
    <row r="153" spans="1:12">
      <c r="A153" s="1370"/>
      <c r="B153" s="1482"/>
      <c r="C153" s="866" t="s">
        <v>22</v>
      </c>
      <c r="D153" s="1044"/>
      <c r="E153" s="539">
        <f t="shared" si="6"/>
        <v>0</v>
      </c>
      <c r="F153" s="539">
        <f t="shared" si="7"/>
        <v>0</v>
      </c>
      <c r="G153" s="1044"/>
      <c r="H153" s="539">
        <f t="shared" si="8"/>
        <v>0.90882000000000007</v>
      </c>
      <c r="I153" s="539">
        <f t="shared" si="9"/>
        <v>0.90882000000000007</v>
      </c>
      <c r="J153" s="1044"/>
      <c r="K153" s="539">
        <f t="shared" si="10"/>
        <v>3.4642872000000007</v>
      </c>
      <c r="L153" s="539">
        <f t="shared" si="11"/>
        <v>3.4642872000000007</v>
      </c>
    </row>
    <row r="154" spans="1:12">
      <c r="A154" s="1370"/>
      <c r="B154" s="1482"/>
      <c r="C154" s="866" t="s">
        <v>803</v>
      </c>
      <c r="D154" s="1044"/>
      <c r="E154" s="539">
        <f t="shared" si="6"/>
        <v>0</v>
      </c>
      <c r="F154" s="539">
        <f t="shared" si="7"/>
        <v>0</v>
      </c>
      <c r="G154" s="1044"/>
      <c r="H154" s="539">
        <f t="shared" si="8"/>
        <v>4.7757599999999991</v>
      </c>
      <c r="I154" s="539">
        <f t="shared" si="9"/>
        <v>4.7757599999999991</v>
      </c>
      <c r="J154" s="1044"/>
      <c r="K154" s="539">
        <f t="shared" si="10"/>
        <v>18.204489600000002</v>
      </c>
      <c r="L154" s="539">
        <f t="shared" si="11"/>
        <v>18.204489600000002</v>
      </c>
    </row>
    <row r="155" spans="1:12" ht="15" customHeight="1">
      <c r="A155" s="1370"/>
      <c r="B155" s="1482"/>
      <c r="C155" s="866" t="s">
        <v>802</v>
      </c>
      <c r="D155" s="1044"/>
      <c r="E155" s="539">
        <f t="shared" si="6"/>
        <v>0</v>
      </c>
      <c r="F155" s="539">
        <f t="shared" si="7"/>
        <v>0</v>
      </c>
      <c r="G155" s="1044"/>
      <c r="H155" s="539">
        <f t="shared" si="8"/>
        <v>16.228871999999999</v>
      </c>
      <c r="I155" s="539">
        <f t="shared" si="9"/>
        <v>16.228871999999999</v>
      </c>
      <c r="J155" s="1044"/>
      <c r="K155" s="539">
        <f t="shared" si="10"/>
        <v>61.862055786666666</v>
      </c>
      <c r="L155" s="539">
        <f t="shared" si="11"/>
        <v>61.862055786666666</v>
      </c>
    </row>
    <row r="156" spans="1:12">
      <c r="A156" s="1370"/>
      <c r="B156" s="1482"/>
      <c r="C156" s="866" t="s">
        <v>587</v>
      </c>
      <c r="D156" s="1044"/>
      <c r="E156" s="539">
        <f t="shared" si="6"/>
        <v>0</v>
      </c>
      <c r="F156" s="539">
        <f t="shared" si="7"/>
        <v>0</v>
      </c>
      <c r="G156" s="1044"/>
      <c r="H156" s="539">
        <f t="shared" si="8"/>
        <v>9.9339569999999977</v>
      </c>
      <c r="I156" s="539">
        <f t="shared" si="9"/>
        <v>9.9339569999999977</v>
      </c>
      <c r="J156" s="1044"/>
      <c r="K156" s="539">
        <f t="shared" si="10"/>
        <v>37.866772386666661</v>
      </c>
      <c r="L156" s="539">
        <f t="shared" si="11"/>
        <v>37.866772386666661</v>
      </c>
    </row>
    <row r="157" spans="1:12">
      <c r="A157" s="1370"/>
      <c r="B157" s="1482"/>
      <c r="C157" s="866" t="s">
        <v>20</v>
      </c>
      <c r="D157" s="1044"/>
      <c r="E157" s="539">
        <f t="shared" si="6"/>
        <v>0</v>
      </c>
      <c r="F157" s="539">
        <f t="shared" si="7"/>
        <v>0</v>
      </c>
      <c r="G157" s="1044"/>
      <c r="H157" s="539">
        <f t="shared" si="8"/>
        <v>27.410228999999994</v>
      </c>
      <c r="I157" s="539">
        <f t="shared" si="9"/>
        <v>27.410228999999994</v>
      </c>
      <c r="J157" s="1044"/>
      <c r="K157" s="539">
        <f t="shared" si="10"/>
        <v>104.48373217333332</v>
      </c>
      <c r="L157" s="539">
        <f t="shared" si="11"/>
        <v>104.48373217333332</v>
      </c>
    </row>
    <row r="158" spans="1:12">
      <c r="A158" s="1370"/>
      <c r="B158" s="1482"/>
      <c r="C158" s="866" t="s">
        <v>586</v>
      </c>
      <c r="D158" s="1044"/>
      <c r="E158" s="539">
        <f t="shared" si="6"/>
        <v>0</v>
      </c>
      <c r="F158" s="539">
        <f t="shared" si="7"/>
        <v>0</v>
      </c>
      <c r="G158" s="1044"/>
      <c r="H158" s="539">
        <f t="shared" si="8"/>
        <v>10.557656999999997</v>
      </c>
      <c r="I158" s="539">
        <f t="shared" si="9"/>
        <v>10.557656999999997</v>
      </c>
      <c r="J158" s="1044"/>
      <c r="K158" s="539">
        <f t="shared" si="10"/>
        <v>40.244224386666659</v>
      </c>
      <c r="L158" s="539">
        <f t="shared" si="11"/>
        <v>40.244224386666659</v>
      </c>
    </row>
    <row r="159" spans="1:12">
      <c r="A159" s="1370"/>
      <c r="B159" s="1482"/>
      <c r="C159" s="866" t="s">
        <v>19</v>
      </c>
      <c r="D159" s="1044"/>
      <c r="E159" s="539">
        <f t="shared" si="6"/>
        <v>0</v>
      </c>
      <c r="F159" s="539">
        <f t="shared" si="7"/>
        <v>0</v>
      </c>
      <c r="G159" s="1044"/>
      <c r="H159" s="539">
        <f t="shared" si="8"/>
        <v>20.863062000000003</v>
      </c>
      <c r="I159" s="539">
        <f t="shared" si="9"/>
        <v>20.863062000000003</v>
      </c>
      <c r="J159" s="1044"/>
      <c r="K159" s="539">
        <f t="shared" si="10"/>
        <v>79.52690152000001</v>
      </c>
      <c r="L159" s="539">
        <f t="shared" si="11"/>
        <v>79.52690152000001</v>
      </c>
    </row>
    <row r="160" spans="1:12">
      <c r="A160" s="1370"/>
      <c r="B160" s="1483"/>
      <c r="C160" s="866" t="s">
        <v>588</v>
      </c>
      <c r="D160" s="1044"/>
      <c r="E160" s="539">
        <f t="shared" si="6"/>
        <v>0</v>
      </c>
      <c r="F160" s="539">
        <f t="shared" si="7"/>
        <v>0</v>
      </c>
      <c r="G160" s="1044"/>
      <c r="H160" s="539">
        <f t="shared" si="8"/>
        <v>1.6572600000000002</v>
      </c>
      <c r="I160" s="539">
        <f t="shared" si="9"/>
        <v>1.6572600000000002</v>
      </c>
      <c r="J160" s="1044"/>
      <c r="K160" s="539">
        <f t="shared" si="10"/>
        <v>6.3172296000000019</v>
      </c>
      <c r="L160" s="539">
        <f t="shared" si="11"/>
        <v>6.3172296000000019</v>
      </c>
    </row>
    <row r="161" spans="1:12">
      <c r="A161" s="1370"/>
      <c r="B161" s="1487" t="s">
        <v>810</v>
      </c>
      <c r="C161" s="868" t="s">
        <v>9</v>
      </c>
      <c r="D161" s="1044"/>
      <c r="E161" s="539">
        <f t="shared" si="6"/>
        <v>0</v>
      </c>
      <c r="F161" s="539">
        <f t="shared" si="7"/>
        <v>0</v>
      </c>
      <c r="G161" s="1044"/>
      <c r="H161" s="539">
        <f t="shared" si="8"/>
        <v>27.197774999999996</v>
      </c>
      <c r="I161" s="539">
        <f t="shared" si="9"/>
        <v>27.197774999999996</v>
      </c>
      <c r="J161" s="1044"/>
      <c r="K161" s="539">
        <f t="shared" si="10"/>
        <v>103.67388900000002</v>
      </c>
      <c r="L161" s="539">
        <f t="shared" si="11"/>
        <v>103.67388900000002</v>
      </c>
    </row>
    <row r="162" spans="1:12">
      <c r="A162" s="1370"/>
      <c r="B162" s="1488"/>
      <c r="C162" s="866" t="s">
        <v>804</v>
      </c>
      <c r="D162" s="1044"/>
      <c r="E162" s="539">
        <f t="shared" si="6"/>
        <v>0</v>
      </c>
      <c r="F162" s="539">
        <f t="shared" si="7"/>
        <v>0</v>
      </c>
      <c r="G162" s="1044"/>
      <c r="H162" s="539">
        <f t="shared" si="8"/>
        <v>99.452826000000002</v>
      </c>
      <c r="I162" s="539">
        <f t="shared" si="9"/>
        <v>99.452826000000002</v>
      </c>
      <c r="J162" s="1044"/>
      <c r="K162" s="539">
        <f t="shared" si="10"/>
        <v>379.0994389600001</v>
      </c>
      <c r="L162" s="539">
        <f t="shared" si="11"/>
        <v>379.0994389600001</v>
      </c>
    </row>
    <row r="163" spans="1:12">
      <c r="A163" s="1370"/>
      <c r="B163" s="1488"/>
      <c r="C163" s="866" t="s">
        <v>22</v>
      </c>
      <c r="D163" s="1044"/>
      <c r="E163" s="539">
        <f t="shared" si="6"/>
        <v>0</v>
      </c>
      <c r="F163" s="539">
        <f t="shared" si="7"/>
        <v>0</v>
      </c>
      <c r="G163" s="1044"/>
      <c r="H163" s="539">
        <f t="shared" si="8"/>
        <v>0.90882000000000007</v>
      </c>
      <c r="I163" s="539">
        <f t="shared" si="9"/>
        <v>0.90882000000000007</v>
      </c>
      <c r="J163" s="1044"/>
      <c r="K163" s="539">
        <f t="shared" si="10"/>
        <v>3.4642872000000007</v>
      </c>
      <c r="L163" s="539">
        <f t="shared" si="11"/>
        <v>3.4642872000000007</v>
      </c>
    </row>
    <row r="164" spans="1:12">
      <c r="A164" s="1370"/>
      <c r="B164" s="1488"/>
      <c r="C164" s="866" t="s">
        <v>803</v>
      </c>
      <c r="D164" s="1044"/>
      <c r="E164" s="539">
        <f t="shared" si="6"/>
        <v>0</v>
      </c>
      <c r="F164" s="539">
        <f t="shared" si="7"/>
        <v>0</v>
      </c>
      <c r="G164" s="1044"/>
      <c r="H164" s="539">
        <f t="shared" si="8"/>
        <v>4.7757599999999991</v>
      </c>
      <c r="I164" s="539">
        <f t="shared" si="9"/>
        <v>4.7757599999999991</v>
      </c>
      <c r="J164" s="1044"/>
      <c r="K164" s="539">
        <f t="shared" si="10"/>
        <v>18.204489600000002</v>
      </c>
      <c r="L164" s="539">
        <f t="shared" si="11"/>
        <v>18.204489600000002</v>
      </c>
    </row>
    <row r="165" spans="1:12">
      <c r="A165" s="1370"/>
      <c r="B165" s="1488"/>
      <c r="C165" s="866" t="s">
        <v>802</v>
      </c>
      <c r="D165" s="1044"/>
      <c r="E165" s="539">
        <f t="shared" si="6"/>
        <v>0</v>
      </c>
      <c r="F165" s="539">
        <f t="shared" si="7"/>
        <v>0</v>
      </c>
      <c r="G165" s="1044"/>
      <c r="H165" s="539">
        <f t="shared" si="8"/>
        <v>16.228871999999999</v>
      </c>
      <c r="I165" s="539">
        <f t="shared" si="9"/>
        <v>16.228871999999999</v>
      </c>
      <c r="J165" s="1044"/>
      <c r="K165" s="539">
        <f t="shared" si="10"/>
        <v>61.862055786666666</v>
      </c>
      <c r="L165" s="539">
        <f t="shared" si="11"/>
        <v>61.862055786666666</v>
      </c>
    </row>
    <row r="166" spans="1:12">
      <c r="A166" s="1370"/>
      <c r="B166" s="1488"/>
      <c r="C166" s="866" t="s">
        <v>587</v>
      </c>
      <c r="D166" s="1044"/>
      <c r="E166" s="539">
        <f t="shared" si="6"/>
        <v>0</v>
      </c>
      <c r="F166" s="539">
        <f t="shared" si="7"/>
        <v>0</v>
      </c>
      <c r="G166" s="1044"/>
      <c r="H166" s="539">
        <f t="shared" si="8"/>
        <v>9.9339569999999977</v>
      </c>
      <c r="I166" s="539">
        <f t="shared" si="9"/>
        <v>9.9339569999999977</v>
      </c>
      <c r="J166" s="1044"/>
      <c r="K166" s="539">
        <f t="shared" si="10"/>
        <v>37.866772386666661</v>
      </c>
      <c r="L166" s="539">
        <f t="shared" si="11"/>
        <v>37.866772386666661</v>
      </c>
    </row>
    <row r="167" spans="1:12">
      <c r="A167" s="1370"/>
      <c r="B167" s="1488"/>
      <c r="C167" s="866" t="s">
        <v>20</v>
      </c>
      <c r="D167" s="1044"/>
      <c r="E167" s="539">
        <f t="shared" si="6"/>
        <v>0</v>
      </c>
      <c r="F167" s="539">
        <f t="shared" si="7"/>
        <v>0</v>
      </c>
      <c r="G167" s="1044"/>
      <c r="H167" s="539">
        <f t="shared" si="8"/>
        <v>27.410228999999994</v>
      </c>
      <c r="I167" s="539">
        <f t="shared" si="9"/>
        <v>27.410228999999994</v>
      </c>
      <c r="J167" s="1044"/>
      <c r="K167" s="539">
        <f t="shared" si="10"/>
        <v>104.48373217333332</v>
      </c>
      <c r="L167" s="539">
        <f t="shared" si="11"/>
        <v>104.48373217333332</v>
      </c>
    </row>
    <row r="168" spans="1:12">
      <c r="A168" s="1370"/>
      <c r="B168" s="1488"/>
      <c r="C168" s="866" t="s">
        <v>586</v>
      </c>
      <c r="D168" s="1044"/>
      <c r="E168" s="539">
        <f t="shared" si="6"/>
        <v>0</v>
      </c>
      <c r="F168" s="539">
        <f t="shared" si="7"/>
        <v>0</v>
      </c>
      <c r="G168" s="1044"/>
      <c r="H168" s="539">
        <f t="shared" si="8"/>
        <v>10.557656999999997</v>
      </c>
      <c r="I168" s="539">
        <f t="shared" si="9"/>
        <v>10.557656999999997</v>
      </c>
      <c r="J168" s="1044"/>
      <c r="K168" s="539">
        <f t="shared" si="10"/>
        <v>40.244224386666659</v>
      </c>
      <c r="L168" s="539">
        <f t="shared" si="11"/>
        <v>40.244224386666659</v>
      </c>
    </row>
    <row r="169" spans="1:12">
      <c r="A169" s="1370"/>
      <c r="B169" s="1488"/>
      <c r="C169" s="866" t="s">
        <v>19</v>
      </c>
      <c r="D169" s="1044"/>
      <c r="E169" s="539">
        <f t="shared" si="6"/>
        <v>0</v>
      </c>
      <c r="F169" s="539">
        <f t="shared" si="7"/>
        <v>0</v>
      </c>
      <c r="G169" s="1044"/>
      <c r="H169" s="539">
        <f t="shared" si="8"/>
        <v>20.863062000000003</v>
      </c>
      <c r="I169" s="539">
        <f t="shared" si="9"/>
        <v>20.863062000000003</v>
      </c>
      <c r="J169" s="1044"/>
      <c r="K169" s="539">
        <f t="shared" si="10"/>
        <v>79.52690152000001</v>
      </c>
      <c r="L169" s="539">
        <f t="shared" si="11"/>
        <v>79.52690152000001</v>
      </c>
    </row>
    <row r="170" spans="1:12">
      <c r="A170" s="1371"/>
      <c r="B170" s="1489"/>
      <c r="C170" s="869" t="s">
        <v>588</v>
      </c>
      <c r="D170" s="1044"/>
      <c r="E170" s="539">
        <f t="shared" si="6"/>
        <v>0</v>
      </c>
      <c r="F170" s="539">
        <f t="shared" si="7"/>
        <v>0</v>
      </c>
      <c r="G170" s="1044"/>
      <c r="H170" s="539">
        <f t="shared" si="8"/>
        <v>1.6572600000000002</v>
      </c>
      <c r="I170" s="539">
        <f t="shared" si="9"/>
        <v>1.6572600000000002</v>
      </c>
      <c r="J170" s="1044"/>
      <c r="K170" s="539">
        <f t="shared" si="10"/>
        <v>6.3172296000000019</v>
      </c>
      <c r="L170" s="539">
        <f t="shared" si="11"/>
        <v>6.3172296000000019</v>
      </c>
    </row>
    <row r="171" spans="1:12">
      <c r="A171" s="1377" t="s">
        <v>857</v>
      </c>
      <c r="B171" s="1375" t="s">
        <v>809</v>
      </c>
      <c r="C171" s="921" t="s">
        <v>9</v>
      </c>
      <c r="D171" s="1044"/>
      <c r="E171" s="539">
        <f t="shared" si="6"/>
        <v>0</v>
      </c>
      <c r="F171" s="539">
        <f t="shared" si="7"/>
        <v>0</v>
      </c>
      <c r="G171" s="1044"/>
      <c r="H171" s="539">
        <f t="shared" si="8"/>
        <v>33.345675</v>
      </c>
      <c r="I171" s="539">
        <f t="shared" si="9"/>
        <v>33.345675</v>
      </c>
      <c r="J171" s="1044"/>
      <c r="K171" s="539">
        <f t="shared" si="10"/>
        <v>127.10877300000001</v>
      </c>
      <c r="L171" s="539">
        <f t="shared" si="11"/>
        <v>127.10877300000001</v>
      </c>
    </row>
    <row r="172" spans="1:12">
      <c r="A172" s="1377"/>
      <c r="B172" s="1375"/>
      <c r="C172" s="921" t="s">
        <v>804</v>
      </c>
      <c r="D172" s="1044"/>
      <c r="E172" s="539">
        <f t="shared" si="6"/>
        <v>0</v>
      </c>
      <c r="F172" s="539">
        <f t="shared" si="7"/>
        <v>0</v>
      </c>
      <c r="G172" s="1044"/>
      <c r="H172" s="539">
        <f t="shared" si="8"/>
        <v>115.02750600000002</v>
      </c>
      <c r="I172" s="539">
        <f t="shared" si="9"/>
        <v>115.02750600000002</v>
      </c>
      <c r="J172" s="1044"/>
      <c r="K172" s="539">
        <f t="shared" si="10"/>
        <v>438.46781176000013</v>
      </c>
      <c r="L172" s="539">
        <f t="shared" si="11"/>
        <v>438.46781176000013</v>
      </c>
    </row>
    <row r="173" spans="1:12">
      <c r="A173" s="1377"/>
      <c r="B173" s="1375"/>
      <c r="C173" s="921" t="s">
        <v>22</v>
      </c>
      <c r="D173" s="1044"/>
      <c r="E173" s="539">
        <f t="shared" si="6"/>
        <v>0</v>
      </c>
      <c r="F173" s="539">
        <f t="shared" si="7"/>
        <v>0</v>
      </c>
      <c r="G173" s="1044"/>
      <c r="H173" s="539">
        <f t="shared" si="8"/>
        <v>2.8690200000000003</v>
      </c>
      <c r="I173" s="539">
        <f t="shared" si="9"/>
        <v>2.8690200000000003</v>
      </c>
      <c r="J173" s="1044"/>
      <c r="K173" s="539">
        <f t="shared" si="10"/>
        <v>10.936279200000003</v>
      </c>
      <c r="L173" s="539">
        <f t="shared" si="11"/>
        <v>10.936279200000003</v>
      </c>
    </row>
    <row r="174" spans="1:12">
      <c r="A174" s="1377"/>
      <c r="B174" s="1375"/>
      <c r="C174" s="921" t="s">
        <v>803</v>
      </c>
      <c r="D174" s="1044"/>
      <c r="E174" s="539">
        <f t="shared" si="6"/>
        <v>0</v>
      </c>
      <c r="F174" s="539">
        <f t="shared" si="7"/>
        <v>0</v>
      </c>
      <c r="G174" s="1044"/>
      <c r="H174" s="539">
        <f t="shared" si="8"/>
        <v>5.7558599999999993</v>
      </c>
      <c r="I174" s="539">
        <f t="shared" si="9"/>
        <v>5.7558599999999993</v>
      </c>
      <c r="J174" s="1044"/>
      <c r="K174" s="539">
        <f t="shared" si="10"/>
        <v>21.940485599999999</v>
      </c>
      <c r="L174" s="539">
        <f t="shared" si="11"/>
        <v>21.940485599999999</v>
      </c>
    </row>
    <row r="175" spans="1:12">
      <c r="A175" s="1377"/>
      <c r="B175" s="1375"/>
      <c r="C175" s="921" t="s">
        <v>802</v>
      </c>
      <c r="D175" s="1044"/>
      <c r="E175" s="539">
        <f t="shared" si="6"/>
        <v>0</v>
      </c>
      <c r="F175" s="539">
        <f t="shared" si="7"/>
        <v>0</v>
      </c>
      <c r="G175" s="1044"/>
      <c r="H175" s="539">
        <f t="shared" si="8"/>
        <v>22.679711999999999</v>
      </c>
      <c r="I175" s="539">
        <f t="shared" si="9"/>
        <v>22.679711999999999</v>
      </c>
      <c r="J175" s="1044"/>
      <c r="K175" s="539">
        <f t="shared" si="10"/>
        <v>86.451702186666665</v>
      </c>
      <c r="L175" s="539">
        <f t="shared" si="11"/>
        <v>86.451702186666665</v>
      </c>
    </row>
    <row r="176" spans="1:12">
      <c r="A176" s="1377"/>
      <c r="B176" s="1375"/>
      <c r="C176" s="921" t="s">
        <v>587</v>
      </c>
      <c r="D176" s="1044"/>
      <c r="E176" s="539">
        <f t="shared" si="6"/>
        <v>0</v>
      </c>
      <c r="F176" s="539">
        <f t="shared" si="7"/>
        <v>0</v>
      </c>
      <c r="G176" s="1044"/>
      <c r="H176" s="539">
        <f t="shared" si="8"/>
        <v>12.214917</v>
      </c>
      <c r="I176" s="539">
        <f t="shared" si="9"/>
        <v>12.214917</v>
      </c>
      <c r="J176" s="1044"/>
      <c r="K176" s="539">
        <f t="shared" si="10"/>
        <v>46.561453986666663</v>
      </c>
      <c r="L176" s="539">
        <f t="shared" si="11"/>
        <v>46.561453986666663</v>
      </c>
    </row>
    <row r="177" spans="1:12">
      <c r="A177" s="1377"/>
      <c r="B177" s="1375"/>
      <c r="C177" s="921" t="s">
        <v>20</v>
      </c>
      <c r="D177" s="1044"/>
      <c r="E177" s="539">
        <f t="shared" si="6"/>
        <v>0</v>
      </c>
      <c r="F177" s="539">
        <f t="shared" si="7"/>
        <v>0</v>
      </c>
      <c r="G177" s="1044"/>
      <c r="H177" s="539">
        <f t="shared" si="8"/>
        <v>33.059169000000004</v>
      </c>
      <c r="I177" s="539">
        <f t="shared" si="9"/>
        <v>33.059169000000004</v>
      </c>
      <c r="J177" s="1044"/>
      <c r="K177" s="539">
        <f t="shared" si="10"/>
        <v>126.01665457333333</v>
      </c>
      <c r="L177" s="539">
        <f t="shared" si="11"/>
        <v>126.01665457333333</v>
      </c>
    </row>
    <row r="178" spans="1:12">
      <c r="A178" s="1377"/>
      <c r="B178" s="1375"/>
      <c r="C178" s="921" t="s">
        <v>586</v>
      </c>
      <c r="D178" s="1044"/>
      <c r="E178" s="539">
        <f t="shared" si="6"/>
        <v>0</v>
      </c>
      <c r="F178" s="539">
        <f t="shared" si="7"/>
        <v>0</v>
      </c>
      <c r="G178" s="1044"/>
      <c r="H178" s="539">
        <f t="shared" si="8"/>
        <v>13.034636999999996</v>
      </c>
      <c r="I178" s="539">
        <f t="shared" si="9"/>
        <v>13.034636999999996</v>
      </c>
      <c r="J178" s="1044"/>
      <c r="K178" s="539">
        <f t="shared" si="10"/>
        <v>49.686105186666659</v>
      </c>
      <c r="L178" s="539">
        <f t="shared" si="11"/>
        <v>49.686105186666659</v>
      </c>
    </row>
    <row r="179" spans="1:12" hidden="1">
      <c r="A179" s="1377"/>
      <c r="B179" s="1375"/>
      <c r="C179" s="921" t="s">
        <v>19</v>
      </c>
      <c r="D179" s="1044"/>
      <c r="E179" s="539">
        <f t="shared" si="6"/>
        <v>0</v>
      </c>
      <c r="F179" s="539">
        <f t="shared" si="7"/>
        <v>0</v>
      </c>
      <c r="G179" s="1044"/>
      <c r="H179" s="539">
        <f t="shared" si="8"/>
        <v>29.220641999999994</v>
      </c>
      <c r="I179" s="539">
        <f t="shared" si="9"/>
        <v>29.220641999999994</v>
      </c>
      <c r="J179" s="1044"/>
      <c r="K179" s="539">
        <f t="shared" si="10"/>
        <v>111.38475832</v>
      </c>
      <c r="L179" s="539">
        <f t="shared" si="11"/>
        <v>111.38475832</v>
      </c>
    </row>
    <row r="180" spans="1:12">
      <c r="A180" s="1377"/>
      <c r="B180" s="1375"/>
      <c r="C180" s="921" t="s">
        <v>588</v>
      </c>
      <c r="D180" s="1044"/>
      <c r="E180" s="539">
        <f t="shared" si="6"/>
        <v>0</v>
      </c>
      <c r="F180" s="539">
        <f t="shared" si="7"/>
        <v>0</v>
      </c>
      <c r="G180" s="1044"/>
      <c r="H180" s="539">
        <f t="shared" si="8"/>
        <v>7.7516999999999978</v>
      </c>
      <c r="I180" s="539">
        <f t="shared" si="9"/>
        <v>7.7516999999999978</v>
      </c>
      <c r="J180" s="1044"/>
      <c r="K180" s="539">
        <f t="shared" si="10"/>
        <v>29.548331999999998</v>
      </c>
      <c r="L180" s="539">
        <f t="shared" si="11"/>
        <v>29.548331999999998</v>
      </c>
    </row>
    <row r="181" spans="1:12">
      <c r="A181" s="1377"/>
      <c r="B181" s="1490" t="s">
        <v>810</v>
      </c>
      <c r="C181" s="920" t="s">
        <v>9</v>
      </c>
      <c r="D181" s="1044"/>
      <c r="E181" s="539">
        <f t="shared" si="6"/>
        <v>0</v>
      </c>
      <c r="F181" s="539">
        <f t="shared" si="7"/>
        <v>0</v>
      </c>
      <c r="G181" s="1044"/>
      <c r="H181" s="539">
        <f t="shared" si="8"/>
        <v>33.345675</v>
      </c>
      <c r="I181" s="539">
        <f t="shared" si="9"/>
        <v>33.345675</v>
      </c>
      <c r="J181" s="1044"/>
      <c r="K181" s="539">
        <f t="shared" si="10"/>
        <v>127.10877300000001</v>
      </c>
      <c r="L181" s="539">
        <f t="shared" si="11"/>
        <v>127.10877300000001</v>
      </c>
    </row>
    <row r="182" spans="1:12">
      <c r="A182" s="1377"/>
      <c r="B182" s="1490"/>
      <c r="C182" s="921" t="s">
        <v>804</v>
      </c>
      <c r="D182" s="1044"/>
      <c r="E182" s="539">
        <f t="shared" si="6"/>
        <v>0</v>
      </c>
      <c r="F182" s="539">
        <f t="shared" si="7"/>
        <v>0</v>
      </c>
      <c r="G182" s="1044"/>
      <c r="H182" s="539">
        <f t="shared" si="8"/>
        <v>115.02750600000002</v>
      </c>
      <c r="I182" s="539">
        <f t="shared" si="9"/>
        <v>115.02750600000002</v>
      </c>
      <c r="J182" s="1044"/>
      <c r="K182" s="539">
        <f t="shared" si="10"/>
        <v>438.46781176000013</v>
      </c>
      <c r="L182" s="539">
        <f t="shared" si="11"/>
        <v>438.46781176000013</v>
      </c>
    </row>
    <row r="183" spans="1:12">
      <c r="A183" s="1377"/>
      <c r="B183" s="1490"/>
      <c r="C183" s="921" t="s">
        <v>22</v>
      </c>
      <c r="D183" s="1044"/>
      <c r="E183" s="539">
        <f t="shared" si="6"/>
        <v>0</v>
      </c>
      <c r="F183" s="539">
        <f t="shared" si="7"/>
        <v>0</v>
      </c>
      <c r="G183" s="1044"/>
      <c r="H183" s="539">
        <f t="shared" si="8"/>
        <v>2.8690200000000003</v>
      </c>
      <c r="I183" s="539">
        <f t="shared" si="9"/>
        <v>2.8690200000000003</v>
      </c>
      <c r="J183" s="1044"/>
      <c r="K183" s="539">
        <f t="shared" si="10"/>
        <v>10.936279200000003</v>
      </c>
      <c r="L183" s="539">
        <f t="shared" si="11"/>
        <v>10.936279200000003</v>
      </c>
    </row>
    <row r="184" spans="1:12">
      <c r="A184" s="1377"/>
      <c r="B184" s="1490"/>
      <c r="C184" s="921" t="s">
        <v>803</v>
      </c>
      <c r="D184" s="1044"/>
      <c r="E184" s="539">
        <f t="shared" si="6"/>
        <v>0</v>
      </c>
      <c r="F184" s="539">
        <f t="shared" si="7"/>
        <v>0</v>
      </c>
      <c r="G184" s="1044"/>
      <c r="H184" s="539">
        <f t="shared" si="8"/>
        <v>5.7558599999999993</v>
      </c>
      <c r="I184" s="539">
        <f t="shared" si="9"/>
        <v>5.7558599999999993</v>
      </c>
      <c r="J184" s="1044"/>
      <c r="K184" s="539">
        <f t="shared" si="10"/>
        <v>21.940485599999999</v>
      </c>
      <c r="L184" s="539">
        <f t="shared" si="11"/>
        <v>21.940485599999999</v>
      </c>
    </row>
    <row r="185" spans="1:12" ht="15" customHeight="1">
      <c r="A185" s="1377"/>
      <c r="B185" s="1490"/>
      <c r="C185" s="921" t="s">
        <v>802</v>
      </c>
      <c r="D185" s="1044"/>
      <c r="E185" s="539">
        <f t="shared" si="6"/>
        <v>0</v>
      </c>
      <c r="F185" s="539">
        <f t="shared" si="7"/>
        <v>0</v>
      </c>
      <c r="G185" s="1044"/>
      <c r="H185" s="539">
        <f t="shared" si="8"/>
        <v>22.679711999999999</v>
      </c>
      <c r="I185" s="539">
        <f t="shared" si="9"/>
        <v>22.679711999999999</v>
      </c>
      <c r="J185" s="1044"/>
      <c r="K185" s="539">
        <f t="shared" si="10"/>
        <v>86.451702186666665</v>
      </c>
      <c r="L185" s="539">
        <f t="shared" si="11"/>
        <v>86.451702186666665</v>
      </c>
    </row>
    <row r="186" spans="1:12">
      <c r="A186" s="1377"/>
      <c r="B186" s="1490"/>
      <c r="C186" s="921" t="s">
        <v>587</v>
      </c>
      <c r="D186" s="1044"/>
      <c r="E186" s="539">
        <f t="shared" si="6"/>
        <v>0</v>
      </c>
      <c r="F186" s="539">
        <f t="shared" si="7"/>
        <v>0</v>
      </c>
      <c r="G186" s="1044"/>
      <c r="H186" s="539">
        <f t="shared" si="8"/>
        <v>12.214917</v>
      </c>
      <c r="I186" s="539">
        <f t="shared" si="9"/>
        <v>12.214917</v>
      </c>
      <c r="J186" s="1044"/>
      <c r="K186" s="539">
        <f t="shared" si="10"/>
        <v>46.561453986666663</v>
      </c>
      <c r="L186" s="539">
        <f t="shared" si="11"/>
        <v>46.561453986666663</v>
      </c>
    </row>
    <row r="187" spans="1:12">
      <c r="A187" s="1377"/>
      <c r="B187" s="1490"/>
      <c r="C187" s="921" t="s">
        <v>20</v>
      </c>
      <c r="D187" s="1044"/>
      <c r="E187" s="539">
        <f t="shared" si="6"/>
        <v>0</v>
      </c>
      <c r="F187" s="539">
        <f t="shared" si="7"/>
        <v>0</v>
      </c>
      <c r="G187" s="1044"/>
      <c r="H187" s="539">
        <f t="shared" si="8"/>
        <v>33.059169000000004</v>
      </c>
      <c r="I187" s="539">
        <f t="shared" si="9"/>
        <v>33.059169000000004</v>
      </c>
      <c r="J187" s="1044"/>
      <c r="K187" s="539">
        <f t="shared" si="10"/>
        <v>126.01665457333333</v>
      </c>
      <c r="L187" s="539">
        <f t="shared" si="11"/>
        <v>126.01665457333333</v>
      </c>
    </row>
    <row r="188" spans="1:12">
      <c r="A188" s="1377"/>
      <c r="B188" s="1490"/>
      <c r="C188" s="921" t="s">
        <v>586</v>
      </c>
      <c r="D188" s="1044"/>
      <c r="E188" s="539">
        <f t="shared" si="6"/>
        <v>0</v>
      </c>
      <c r="F188" s="539">
        <f t="shared" si="7"/>
        <v>0</v>
      </c>
      <c r="G188" s="1044"/>
      <c r="H188" s="539">
        <f t="shared" si="8"/>
        <v>13.034636999999996</v>
      </c>
      <c r="I188" s="539">
        <f t="shared" si="9"/>
        <v>13.034636999999996</v>
      </c>
      <c r="J188" s="1044"/>
      <c r="K188" s="539">
        <f t="shared" si="10"/>
        <v>49.686105186666659</v>
      </c>
      <c r="L188" s="539">
        <f t="shared" si="11"/>
        <v>49.686105186666659</v>
      </c>
    </row>
    <row r="189" spans="1:12">
      <c r="A189" s="1377"/>
      <c r="B189" s="1490"/>
      <c r="C189" s="921" t="s">
        <v>19</v>
      </c>
      <c r="D189" s="1044"/>
      <c r="E189" s="539">
        <f t="shared" si="6"/>
        <v>0</v>
      </c>
      <c r="F189" s="539">
        <f t="shared" si="7"/>
        <v>0</v>
      </c>
      <c r="G189" s="1044"/>
      <c r="H189" s="539">
        <f t="shared" si="8"/>
        <v>29.220641999999994</v>
      </c>
      <c r="I189" s="539">
        <f t="shared" si="9"/>
        <v>29.220641999999994</v>
      </c>
      <c r="J189" s="1044"/>
      <c r="K189" s="539">
        <f t="shared" si="10"/>
        <v>111.38475832</v>
      </c>
      <c r="L189" s="539">
        <f t="shared" si="11"/>
        <v>111.38475832</v>
      </c>
    </row>
    <row r="190" spans="1:12">
      <c r="A190" s="1377"/>
      <c r="B190" s="1490"/>
      <c r="C190" s="869" t="s">
        <v>588</v>
      </c>
      <c r="D190" s="1044"/>
      <c r="E190" s="539">
        <f t="shared" si="6"/>
        <v>0</v>
      </c>
      <c r="F190" s="539">
        <f t="shared" si="7"/>
        <v>0</v>
      </c>
      <c r="G190" s="1044"/>
      <c r="H190" s="539">
        <f t="shared" si="8"/>
        <v>7.7516999999999978</v>
      </c>
      <c r="I190" s="539">
        <f t="shared" si="9"/>
        <v>7.7516999999999978</v>
      </c>
      <c r="J190" s="1044"/>
      <c r="K190" s="539">
        <f t="shared" si="10"/>
        <v>29.548331999999998</v>
      </c>
      <c r="L190" s="539">
        <f t="shared" si="11"/>
        <v>29.548331999999998</v>
      </c>
    </row>
    <row r="191" spans="1:12">
      <c r="A191" s="1743" t="s">
        <v>863</v>
      </c>
      <c r="B191" s="1743"/>
      <c r="C191" s="1756"/>
      <c r="D191" s="1044"/>
      <c r="E191" s="320">
        <f t="shared" si="6"/>
        <v>0</v>
      </c>
      <c r="F191" s="320">
        <f t="shared" si="7"/>
        <v>0</v>
      </c>
      <c r="G191" s="320"/>
      <c r="H191" s="320">
        <f t="shared" si="8"/>
        <v>32.801174251716148</v>
      </c>
      <c r="I191" s="320">
        <f t="shared" si="9"/>
        <v>32.801174251716148</v>
      </c>
      <c r="J191" s="320"/>
      <c r="K191" s="320">
        <f t="shared" si="10"/>
        <v>125.03321681431947</v>
      </c>
      <c r="L191" s="320">
        <f t="shared" si="11"/>
        <v>125.03321681431947</v>
      </c>
    </row>
    <row r="192" spans="1:12">
      <c r="A192" s="1743" t="s">
        <v>861</v>
      </c>
      <c r="B192" s="1743"/>
      <c r="C192" s="1756"/>
      <c r="D192" s="1044"/>
      <c r="E192" s="320">
        <f t="shared" si="6"/>
        <v>0</v>
      </c>
      <c r="F192" s="320">
        <f t="shared" si="7"/>
        <v>0</v>
      </c>
      <c r="G192" s="320"/>
      <c r="H192" s="320">
        <f t="shared" si="8"/>
        <v>9.9692307692307711</v>
      </c>
      <c r="I192" s="320">
        <f t="shared" si="9"/>
        <v>9.9692307692307711</v>
      </c>
      <c r="J192" s="320"/>
      <c r="K192" s="320">
        <f t="shared" si="10"/>
        <v>38.00123076923078</v>
      </c>
      <c r="L192" s="320">
        <f t="shared" si="11"/>
        <v>38.00123076923078</v>
      </c>
    </row>
    <row r="193" spans="1:12" ht="15" customHeight="1">
      <c r="A193" s="1744" t="s">
        <v>23</v>
      </c>
      <c r="B193" s="1744"/>
      <c r="C193" s="1757"/>
      <c r="D193" s="1044"/>
      <c r="E193" s="320">
        <f t="shared" si="6"/>
        <v>0</v>
      </c>
      <c r="F193" s="320">
        <f t="shared" si="7"/>
        <v>0</v>
      </c>
      <c r="G193" s="320"/>
      <c r="H193" s="320">
        <f t="shared" si="8"/>
        <v>133.24724635818714</v>
      </c>
      <c r="I193" s="320">
        <f t="shared" si="9"/>
        <v>133.24724635818714</v>
      </c>
      <c r="J193" s="320"/>
      <c r="K193" s="320">
        <f t="shared" si="10"/>
        <v>507.91876278461569</v>
      </c>
      <c r="L193" s="320">
        <f t="shared" si="11"/>
        <v>507.91876278461569</v>
      </c>
    </row>
    <row r="194" spans="1:12">
      <c r="A194" s="1744" t="s">
        <v>862</v>
      </c>
      <c r="B194" s="1744"/>
      <c r="C194" s="1757"/>
      <c r="D194" s="1044"/>
      <c r="E194" s="320">
        <f t="shared" si="6"/>
        <v>0</v>
      </c>
      <c r="F194" s="320">
        <f t="shared" si="7"/>
        <v>0</v>
      </c>
      <c r="G194" s="320"/>
      <c r="H194" s="320">
        <f t="shared" si="8"/>
        <v>172.60085335738779</v>
      </c>
      <c r="I194" s="320">
        <f t="shared" si="9"/>
        <v>172.60085335738779</v>
      </c>
      <c r="J194" s="320"/>
      <c r="K194" s="320">
        <f t="shared" si="10"/>
        <v>657.92888250156864</v>
      </c>
      <c r="L194" s="320">
        <f t="shared" si="11"/>
        <v>657.92888250156864</v>
      </c>
    </row>
    <row r="195" spans="1:12">
      <c r="A195" s="1744" t="s">
        <v>658</v>
      </c>
      <c r="B195" s="1744"/>
      <c r="C195" s="1757"/>
      <c r="D195" s="1044"/>
      <c r="E195" s="320">
        <f t="shared" si="6"/>
        <v>0</v>
      </c>
      <c r="F195" s="320">
        <f t="shared" si="7"/>
        <v>0</v>
      </c>
      <c r="G195" s="320"/>
      <c r="H195" s="320">
        <f t="shared" si="8"/>
        <v>798.86281103999966</v>
      </c>
      <c r="I195" s="320">
        <f t="shared" si="9"/>
        <v>798.86281103999966</v>
      </c>
      <c r="J195" s="320"/>
      <c r="K195" s="320">
        <f t="shared" si="10"/>
        <v>3045.1466856383995</v>
      </c>
      <c r="L195" s="320">
        <f t="shared" si="11"/>
        <v>3045.1466856383995</v>
      </c>
    </row>
    <row r="196" spans="1:12">
      <c r="A196" s="1743" t="s">
        <v>16</v>
      </c>
      <c r="B196" s="1743"/>
      <c r="C196" s="1778" t="s">
        <v>16</v>
      </c>
      <c r="D196" s="1044"/>
      <c r="E196" s="320">
        <f t="shared" ref="E196:E214" si="12">(H87*($C$119-$D$119)*$E$119)/1000</f>
        <v>0</v>
      </c>
      <c r="F196" s="320">
        <f t="shared" ref="F196:F214" si="13">D196+E196</f>
        <v>0</v>
      </c>
      <c r="G196" s="320"/>
      <c r="H196" s="320">
        <f t="shared" ref="H196:H214" si="14">(H87*($C$120-$D$120)*$E$120)/1000</f>
        <v>28.222677012414092</v>
      </c>
      <c r="I196" s="320">
        <f t="shared" ref="I196:I214" si="15">G196+H196</f>
        <v>28.222677012414092</v>
      </c>
      <c r="J196" s="320"/>
      <c r="K196" s="320">
        <f t="shared" ref="K196:K214" si="16">(H87*($C$121-$D$121)*$E$121)/1000</f>
        <v>107.58066363398738</v>
      </c>
      <c r="L196" s="320">
        <f t="shared" ref="L196:L214" si="17">J196+K196</f>
        <v>107.58066363398738</v>
      </c>
    </row>
    <row r="197" spans="1:12">
      <c r="A197" s="1743"/>
      <c r="B197" s="1743"/>
      <c r="C197" s="1778"/>
      <c r="D197" s="1044"/>
      <c r="E197" s="320">
        <f t="shared" si="12"/>
        <v>0</v>
      </c>
      <c r="F197" s="320">
        <f t="shared" si="13"/>
        <v>0</v>
      </c>
      <c r="G197" s="320"/>
      <c r="H197" s="320">
        <f t="shared" si="14"/>
        <v>4.1001467814645185</v>
      </c>
      <c r="I197" s="320">
        <f t="shared" si="15"/>
        <v>4.1001467814645185</v>
      </c>
      <c r="J197" s="320"/>
      <c r="K197" s="320">
        <f t="shared" si="16"/>
        <v>15.629152101789934</v>
      </c>
      <c r="L197" s="320">
        <f t="shared" si="17"/>
        <v>15.629152101789934</v>
      </c>
    </row>
    <row r="198" spans="1:12">
      <c r="A198" s="1743"/>
      <c r="B198" s="1743"/>
      <c r="C198" s="1778"/>
      <c r="D198" s="1044"/>
      <c r="E198" s="320">
        <f t="shared" si="12"/>
        <v>0</v>
      </c>
      <c r="F198" s="320">
        <f t="shared" si="13"/>
        <v>0</v>
      </c>
      <c r="G198" s="320"/>
      <c r="H198" s="320">
        <f t="shared" si="14"/>
        <v>10.250366953661295</v>
      </c>
      <c r="I198" s="320">
        <f t="shared" si="15"/>
        <v>10.250366953661295</v>
      </c>
      <c r="J198" s="320"/>
      <c r="K198" s="320">
        <f t="shared" si="16"/>
        <v>39.072880254474839</v>
      </c>
      <c r="L198" s="320">
        <f t="shared" si="17"/>
        <v>39.072880254474839</v>
      </c>
    </row>
    <row r="199" spans="1:12">
      <c r="A199" s="1743"/>
      <c r="B199" s="1743"/>
      <c r="C199" s="1778"/>
      <c r="D199" s="1044"/>
      <c r="E199" s="320">
        <f t="shared" si="12"/>
        <v>0</v>
      </c>
      <c r="F199" s="320">
        <f t="shared" si="13"/>
        <v>0</v>
      </c>
      <c r="G199" s="320"/>
      <c r="H199" s="320">
        <f t="shared" si="14"/>
        <v>11.412075208409576</v>
      </c>
      <c r="I199" s="320">
        <f t="shared" si="15"/>
        <v>11.412075208409576</v>
      </c>
      <c r="J199" s="320"/>
      <c r="K199" s="320">
        <f t="shared" si="16"/>
        <v>43.501140016648648</v>
      </c>
      <c r="L199" s="320">
        <f t="shared" si="17"/>
        <v>43.501140016648648</v>
      </c>
    </row>
    <row r="200" spans="1:12">
      <c r="A200" s="1743"/>
      <c r="B200" s="1743"/>
      <c r="C200" s="1778"/>
      <c r="D200" s="1044"/>
      <c r="E200" s="320">
        <f t="shared" si="12"/>
        <v>0</v>
      </c>
      <c r="F200" s="320">
        <f t="shared" si="13"/>
        <v>0</v>
      </c>
      <c r="G200" s="320"/>
      <c r="H200" s="320">
        <f t="shared" si="14"/>
        <v>28.017669673340869</v>
      </c>
      <c r="I200" s="320">
        <f t="shared" si="15"/>
        <v>28.017669673340869</v>
      </c>
      <c r="J200" s="320"/>
      <c r="K200" s="320">
        <f t="shared" si="16"/>
        <v>106.79920602889787</v>
      </c>
      <c r="L200" s="320">
        <f t="shared" si="17"/>
        <v>106.79920602889787</v>
      </c>
    </row>
    <row r="201" spans="1:12" ht="15" customHeight="1">
      <c r="A201" s="1743"/>
      <c r="B201" s="1743"/>
      <c r="C201" s="1778"/>
      <c r="D201" s="1044"/>
      <c r="E201" s="320">
        <f t="shared" si="12"/>
        <v>0</v>
      </c>
      <c r="F201" s="320">
        <f t="shared" si="13"/>
        <v>0</v>
      </c>
      <c r="G201" s="320"/>
      <c r="H201" s="320">
        <f t="shared" si="14"/>
        <v>28.222677012414092</v>
      </c>
      <c r="I201" s="320">
        <f t="shared" si="15"/>
        <v>28.222677012414092</v>
      </c>
      <c r="J201" s="320"/>
      <c r="K201" s="320">
        <f t="shared" si="16"/>
        <v>107.58066363398738</v>
      </c>
      <c r="L201" s="320">
        <f t="shared" si="17"/>
        <v>107.58066363398738</v>
      </c>
    </row>
    <row r="202" spans="1:12">
      <c r="A202" s="1743"/>
      <c r="B202" s="1743"/>
      <c r="C202" s="1778"/>
      <c r="D202" s="1044"/>
      <c r="E202" s="320">
        <f t="shared" si="12"/>
        <v>0</v>
      </c>
      <c r="F202" s="320">
        <f t="shared" si="13"/>
        <v>0</v>
      </c>
      <c r="G202" s="320"/>
      <c r="H202" s="320">
        <f t="shared" si="14"/>
        <v>4.1001467814645185</v>
      </c>
      <c r="I202" s="320">
        <f t="shared" si="15"/>
        <v>4.1001467814645185</v>
      </c>
      <c r="J202" s="320"/>
      <c r="K202" s="320">
        <f t="shared" si="16"/>
        <v>15.629152101789934</v>
      </c>
      <c r="L202" s="320">
        <f t="shared" si="17"/>
        <v>15.629152101789934</v>
      </c>
    </row>
    <row r="203" spans="1:12">
      <c r="A203" s="1743"/>
      <c r="B203" s="1743"/>
      <c r="C203" s="1778"/>
      <c r="D203" s="1044"/>
      <c r="E203" s="320">
        <f t="shared" si="12"/>
        <v>0</v>
      </c>
      <c r="F203" s="320">
        <f t="shared" si="13"/>
        <v>0</v>
      </c>
      <c r="G203" s="320"/>
      <c r="H203" s="320">
        <f t="shared" si="14"/>
        <v>10.250366953661295</v>
      </c>
      <c r="I203" s="320">
        <f t="shared" si="15"/>
        <v>10.250366953661295</v>
      </c>
      <c r="J203" s="320"/>
      <c r="K203" s="320">
        <f t="shared" si="16"/>
        <v>39.072880254474839</v>
      </c>
      <c r="L203" s="320">
        <f t="shared" si="17"/>
        <v>39.072880254474839</v>
      </c>
    </row>
    <row r="204" spans="1:12">
      <c r="A204" s="1743"/>
      <c r="B204" s="1743"/>
      <c r="C204" s="1778"/>
      <c r="D204" s="1044"/>
      <c r="E204" s="320">
        <f t="shared" si="12"/>
        <v>0</v>
      </c>
      <c r="F204" s="320">
        <f t="shared" si="13"/>
        <v>0</v>
      </c>
      <c r="G204" s="320"/>
      <c r="H204" s="320">
        <f t="shared" si="14"/>
        <v>11.412075208409576</v>
      </c>
      <c r="I204" s="320">
        <f t="shared" si="15"/>
        <v>11.412075208409576</v>
      </c>
      <c r="J204" s="320"/>
      <c r="K204" s="320">
        <f t="shared" si="16"/>
        <v>43.501140016648648</v>
      </c>
      <c r="L204" s="320">
        <f t="shared" si="17"/>
        <v>43.501140016648648</v>
      </c>
    </row>
    <row r="205" spans="1:12">
      <c r="A205" s="1743"/>
      <c r="B205" s="1743"/>
      <c r="C205" s="1778"/>
      <c r="D205" s="1044"/>
      <c r="E205" s="320">
        <f t="shared" si="12"/>
        <v>0</v>
      </c>
      <c r="F205" s="320">
        <f t="shared" si="13"/>
        <v>0</v>
      </c>
      <c r="G205" s="320"/>
      <c r="H205" s="320">
        <f t="shared" si="14"/>
        <v>28.017669673340869</v>
      </c>
      <c r="I205" s="320">
        <f t="shared" si="15"/>
        <v>28.017669673340869</v>
      </c>
      <c r="J205" s="320"/>
      <c r="K205" s="320">
        <f t="shared" si="16"/>
        <v>106.79920602889787</v>
      </c>
      <c r="L205" s="320">
        <f t="shared" si="17"/>
        <v>106.79920602889787</v>
      </c>
    </row>
    <row r="206" spans="1:12">
      <c r="A206" s="1744" t="s">
        <v>23</v>
      </c>
      <c r="B206" s="1744"/>
      <c r="C206" s="1779" t="s">
        <v>23</v>
      </c>
      <c r="D206" s="1044"/>
      <c r="E206" s="320">
        <f t="shared" si="12"/>
        <v>0</v>
      </c>
      <c r="F206" s="320">
        <f t="shared" si="13"/>
        <v>0</v>
      </c>
      <c r="G206" s="320"/>
      <c r="H206" s="320">
        <f t="shared" si="14"/>
        <v>50.895139934232859</v>
      </c>
      <c r="I206" s="320">
        <f t="shared" si="15"/>
        <v>50.895139934232859</v>
      </c>
      <c r="J206" s="320"/>
      <c r="K206" s="320">
        <f t="shared" si="16"/>
        <v>194.0047334085647</v>
      </c>
      <c r="L206" s="320">
        <f t="shared" si="17"/>
        <v>194.0047334085647</v>
      </c>
    </row>
    <row r="207" spans="1:12">
      <c r="A207" s="1744"/>
      <c r="B207" s="1744"/>
      <c r="C207" s="1780"/>
      <c r="D207" s="1044"/>
      <c r="E207" s="320">
        <f t="shared" si="12"/>
        <v>0</v>
      </c>
      <c r="F207" s="320">
        <f t="shared" si="13"/>
        <v>0</v>
      </c>
      <c r="G207" s="320"/>
      <c r="H207" s="320">
        <f t="shared" si="14"/>
        <v>50.895139934232859</v>
      </c>
      <c r="I207" s="320">
        <f t="shared" si="15"/>
        <v>50.895139934232859</v>
      </c>
      <c r="J207" s="320"/>
      <c r="K207" s="320">
        <f t="shared" si="16"/>
        <v>194.0047334085647</v>
      </c>
      <c r="L207" s="320">
        <f t="shared" si="17"/>
        <v>194.0047334085647</v>
      </c>
    </row>
    <row r="208" spans="1:12">
      <c r="A208" s="1744"/>
      <c r="B208" s="1744"/>
      <c r="C208" s="1781"/>
      <c r="D208" s="1044"/>
      <c r="E208" s="320">
        <f t="shared" si="12"/>
        <v>0</v>
      </c>
      <c r="F208" s="320">
        <f t="shared" si="13"/>
        <v>0</v>
      </c>
      <c r="G208" s="320"/>
      <c r="H208" s="320">
        <f t="shared" si="14"/>
        <v>14.514539907170114</v>
      </c>
      <c r="I208" s="320">
        <f t="shared" si="15"/>
        <v>14.514539907170114</v>
      </c>
      <c r="J208" s="320"/>
      <c r="K208" s="320">
        <f t="shared" si="16"/>
        <v>55.327275823924012</v>
      </c>
      <c r="L208" s="320">
        <f t="shared" si="17"/>
        <v>55.327275823924012</v>
      </c>
    </row>
    <row r="209" spans="1:15">
      <c r="A209" s="1744" t="s">
        <v>862</v>
      </c>
      <c r="B209" s="1744"/>
      <c r="C209" s="1779" t="s">
        <v>862</v>
      </c>
      <c r="D209" s="1044"/>
      <c r="E209" s="320">
        <f t="shared" si="12"/>
        <v>0</v>
      </c>
      <c r="F209" s="320">
        <f t="shared" si="13"/>
        <v>0</v>
      </c>
      <c r="G209" s="320"/>
      <c r="H209" s="320">
        <f t="shared" si="14"/>
        <v>0</v>
      </c>
      <c r="I209" s="320">
        <f t="shared" si="15"/>
        <v>0</v>
      </c>
      <c r="J209" s="320"/>
      <c r="K209" s="320">
        <f t="shared" si="16"/>
        <v>0</v>
      </c>
      <c r="L209" s="320">
        <f t="shared" si="17"/>
        <v>0</v>
      </c>
    </row>
    <row r="210" spans="1:15">
      <c r="A210" s="1744"/>
      <c r="B210" s="1744"/>
      <c r="C210" s="1780"/>
      <c r="D210" s="1044"/>
      <c r="E210" s="320">
        <f t="shared" si="12"/>
        <v>0</v>
      </c>
      <c r="F210" s="320">
        <f t="shared" si="13"/>
        <v>0</v>
      </c>
      <c r="G210" s="320"/>
      <c r="H210" s="320">
        <f t="shared" si="14"/>
        <v>50.895139934232859</v>
      </c>
      <c r="I210" s="320">
        <f t="shared" si="15"/>
        <v>50.895139934232859</v>
      </c>
      <c r="J210" s="320"/>
      <c r="K210" s="320">
        <f t="shared" si="16"/>
        <v>194.0047334085647</v>
      </c>
      <c r="L210" s="320">
        <f t="shared" si="17"/>
        <v>194.0047334085647</v>
      </c>
    </row>
    <row r="211" spans="1:15">
      <c r="A211" s="1744"/>
      <c r="B211" s="1744"/>
      <c r="C211" s="1780"/>
      <c r="D211" s="1044"/>
      <c r="E211" s="320">
        <f t="shared" si="12"/>
        <v>0</v>
      </c>
      <c r="F211" s="320">
        <f t="shared" si="13"/>
        <v>0</v>
      </c>
      <c r="G211" s="320"/>
      <c r="H211" s="320">
        <f t="shared" si="14"/>
        <v>50.895139934232859</v>
      </c>
      <c r="I211" s="320">
        <f t="shared" si="15"/>
        <v>50.895139934232859</v>
      </c>
      <c r="J211" s="320"/>
      <c r="K211" s="320">
        <f t="shared" si="16"/>
        <v>194.0047334085647</v>
      </c>
      <c r="L211" s="320">
        <f t="shared" si="17"/>
        <v>194.0047334085647</v>
      </c>
    </row>
    <row r="212" spans="1:15">
      <c r="A212" s="1744"/>
      <c r="B212" s="1744"/>
      <c r="C212" s="1780"/>
      <c r="D212" s="1044"/>
      <c r="E212" s="320">
        <f t="shared" si="12"/>
        <v>0</v>
      </c>
      <c r="F212" s="320">
        <f t="shared" si="13"/>
        <v>0</v>
      </c>
      <c r="G212" s="320"/>
      <c r="H212" s="320">
        <f t="shared" si="14"/>
        <v>14.514539907170114</v>
      </c>
      <c r="I212" s="320">
        <f t="shared" si="15"/>
        <v>14.514539907170114</v>
      </c>
      <c r="J212" s="320"/>
      <c r="K212" s="320">
        <f t="shared" si="16"/>
        <v>55.327275823924012</v>
      </c>
      <c r="L212" s="320">
        <f t="shared" si="17"/>
        <v>55.327275823924012</v>
      </c>
    </row>
    <row r="213" spans="1:15">
      <c r="A213" s="1744"/>
      <c r="B213" s="1744"/>
      <c r="C213" s="1781"/>
      <c r="D213" s="1044"/>
      <c r="E213" s="320">
        <f t="shared" si="12"/>
        <v>0</v>
      </c>
      <c r="F213" s="320">
        <f t="shared" si="13"/>
        <v>0</v>
      </c>
      <c r="G213" s="320"/>
      <c r="H213" s="320">
        <f t="shared" si="14"/>
        <v>0</v>
      </c>
      <c r="I213" s="320">
        <f t="shared" si="15"/>
        <v>0</v>
      </c>
      <c r="J213" s="320"/>
      <c r="K213" s="320">
        <f t="shared" si="16"/>
        <v>0</v>
      </c>
      <c r="L213" s="320">
        <f t="shared" si="17"/>
        <v>0</v>
      </c>
    </row>
    <row r="214" spans="1:15">
      <c r="A214" s="1744" t="s">
        <v>658</v>
      </c>
      <c r="B214" s="1744"/>
      <c r="C214" s="1757"/>
      <c r="D214" s="1044"/>
      <c r="E214" s="320">
        <f t="shared" si="12"/>
        <v>0</v>
      </c>
      <c r="F214" s="320">
        <f t="shared" si="13"/>
        <v>0</v>
      </c>
      <c r="G214" s="320"/>
      <c r="H214" s="320">
        <f t="shared" si="14"/>
        <v>78.045012</v>
      </c>
      <c r="I214" s="320">
        <f t="shared" si="15"/>
        <v>78.045012</v>
      </c>
      <c r="J214" s="320"/>
      <c r="K214" s="320">
        <f t="shared" si="16"/>
        <v>297.49602352000005</v>
      </c>
      <c r="L214" s="320">
        <f t="shared" si="17"/>
        <v>297.49602352000005</v>
      </c>
    </row>
    <row r="215" spans="1:15">
      <c r="D215" s="1044"/>
      <c r="E215" s="1044">
        <f>SUM(E131:E214)</f>
        <v>0</v>
      </c>
      <c r="F215" s="1044">
        <f>SUM(F131:F214)</f>
        <v>0</v>
      </c>
      <c r="G215" s="1044"/>
      <c r="H215" s="1044">
        <f>SUM(H131:H214)</f>
        <v>3204.8025665863734</v>
      </c>
      <c r="I215" s="1044">
        <f>SUM(I131:I214)</f>
        <v>3204.8025665863734</v>
      </c>
      <c r="J215" s="1044"/>
      <c r="K215" s="1044">
        <f>SUM(K131:K214)</f>
        <v>12216.23259826184</v>
      </c>
      <c r="L215" s="1044">
        <f>SUM(L131:L214)</f>
        <v>12216.23259826184</v>
      </c>
    </row>
    <row r="216" spans="1:15">
      <c r="E216" s="539">
        <f>E215-SUM(E131:E190)</f>
        <v>0</v>
      </c>
      <c r="F216" s="539">
        <f>F215-SUM(F131:F190)</f>
        <v>0</v>
      </c>
      <c r="G216" s="1044"/>
      <c r="H216" s="539">
        <f>H215-SUM(H131:H190)</f>
        <v>1622.1418385863733</v>
      </c>
      <c r="I216" s="539">
        <f>I215-SUM(I131:I190)</f>
        <v>1622.1418385863733</v>
      </c>
      <c r="J216" s="1044"/>
      <c r="K216" s="539">
        <f>K215-SUM(K131:K190)</f>
        <v>6183.3643713818392</v>
      </c>
      <c r="L216" s="539">
        <f>L215-SUM(L131:L190)</f>
        <v>6183.3643713818392</v>
      </c>
    </row>
    <row r="224" spans="1:15" ht="15.75" customHeight="1">
      <c r="A224" s="1761" t="s">
        <v>662</v>
      </c>
      <c r="B224" s="1762"/>
      <c r="C224" s="1763"/>
      <c r="D224" s="1106"/>
      <c r="E224" s="1048" t="s">
        <v>204</v>
      </c>
      <c r="F224" s="1107"/>
      <c r="G224" s="1106"/>
      <c r="H224" s="1048" t="s">
        <v>205</v>
      </c>
      <c r="I224" s="1107"/>
      <c r="J224" s="1106"/>
      <c r="K224" s="1048" t="s">
        <v>206</v>
      </c>
      <c r="L224" s="1107"/>
      <c r="M224" s="1106"/>
      <c r="N224" s="1048" t="s">
        <v>207</v>
      </c>
      <c r="O224" s="1107"/>
    </row>
    <row r="225" spans="1:15" ht="18">
      <c r="A225" s="1761"/>
      <c r="B225" s="1762"/>
      <c r="C225" s="1763"/>
      <c r="D225" s="224"/>
      <c r="E225" s="224" t="s">
        <v>419</v>
      </c>
      <c r="F225" s="224" t="s">
        <v>403</v>
      </c>
      <c r="G225" s="224"/>
      <c r="H225" s="224" t="s">
        <v>419</v>
      </c>
      <c r="I225" s="224" t="s">
        <v>403</v>
      </c>
      <c r="J225" s="224"/>
      <c r="K225" s="224" t="s">
        <v>419</v>
      </c>
      <c r="L225" s="224" t="s">
        <v>403</v>
      </c>
      <c r="M225" s="224"/>
      <c r="N225" s="224" t="s">
        <v>419</v>
      </c>
      <c r="O225" s="224" t="s">
        <v>403</v>
      </c>
    </row>
    <row r="226" spans="1:15" ht="15" customHeight="1">
      <c r="A226" s="1769" t="str">
        <f>A130</f>
        <v>15 Novembre - 31 Marzo</v>
      </c>
      <c r="B226" s="1770"/>
      <c r="C226" s="1771"/>
      <c r="D226" s="175"/>
      <c r="E226" s="175" t="s">
        <v>218</v>
      </c>
      <c r="F226" s="175" t="s">
        <v>218</v>
      </c>
      <c r="G226" s="175"/>
      <c r="H226" s="175" t="s">
        <v>218</v>
      </c>
      <c r="I226" s="175" t="s">
        <v>218</v>
      </c>
      <c r="J226" s="175"/>
      <c r="K226" s="175" t="s">
        <v>218</v>
      </c>
      <c r="L226" s="175" t="s">
        <v>218</v>
      </c>
      <c r="M226" s="175"/>
      <c r="N226" s="175" t="s">
        <v>218</v>
      </c>
      <c r="O226" s="175" t="s">
        <v>218</v>
      </c>
    </row>
    <row r="227" spans="1:15" ht="15" customHeight="1">
      <c r="A227" s="1484" t="s">
        <v>34</v>
      </c>
      <c r="B227" s="1481" t="s">
        <v>809</v>
      </c>
      <c r="C227" s="868" t="s">
        <v>9</v>
      </c>
      <c r="D227" s="512"/>
      <c r="E227" s="539">
        <f>(H22*($C$122-$D$122)*$E$122)/1000</f>
        <v>161.01222059999998</v>
      </c>
      <c r="F227" s="539">
        <f>D227+E227</f>
        <v>161.01222059999998</v>
      </c>
      <c r="G227" s="1044"/>
      <c r="H227" s="539">
        <f>(H22*($C$123-$D$123)*$E$123)/1000</f>
        <v>142.86019439999998</v>
      </c>
      <c r="I227" s="539">
        <f>G227+H227</f>
        <v>142.86019439999998</v>
      </c>
      <c r="J227" s="1044"/>
      <c r="K227" s="539">
        <f>(H22*($C$124-$D$124)*$E$124)/1000</f>
        <v>119.51422559999999</v>
      </c>
      <c r="L227" s="539">
        <f>J227+K227</f>
        <v>119.51422559999999</v>
      </c>
      <c r="M227" s="1044"/>
      <c r="N227" s="539">
        <f>(H22*($C$125-$D$125)*$E$125)/1000</f>
        <v>0</v>
      </c>
      <c r="O227" s="539">
        <f>M227+N227</f>
        <v>0</v>
      </c>
    </row>
    <row r="228" spans="1:15">
      <c r="A228" s="1485"/>
      <c r="B228" s="1482"/>
      <c r="C228" s="866" t="s">
        <v>804</v>
      </c>
      <c r="D228" s="512"/>
      <c r="E228" s="539">
        <f>(H23*($C$122-$D$122)*$E$122)/1000</f>
        <v>543.94200344000001</v>
      </c>
      <c r="F228" s="539">
        <f>D228+E228</f>
        <v>543.94200344000001</v>
      </c>
      <c r="G228" s="1044"/>
      <c r="H228" s="539">
        <f t="shared" ref="H228:H291" si="18">(H23*($C$123-$D$123)*$E$123)/1000</f>
        <v>482.61964255999993</v>
      </c>
      <c r="I228" s="539">
        <f t="shared" ref="I228:I291" si="19">G228+H228</f>
        <v>482.61964255999993</v>
      </c>
      <c r="J228" s="1044"/>
      <c r="K228" s="539">
        <f t="shared" ref="K228:K291" si="20">(H23*($C$124-$D$124)*$E$124)/1000</f>
        <v>403.75076544000001</v>
      </c>
      <c r="L228" s="539">
        <f t="shared" ref="L228:L291" si="21">J228+K228</f>
        <v>403.75076544000001</v>
      </c>
      <c r="M228" s="1044"/>
      <c r="N228" s="539">
        <f t="shared" ref="N228:N291" si="22">(H23*($C$125-$D$125)*$E$125)/1000</f>
        <v>0</v>
      </c>
      <c r="O228" s="539">
        <f t="shared" ref="O228:O291" si="23">M228+N228</f>
        <v>0</v>
      </c>
    </row>
    <row r="229" spans="1:15">
      <c r="A229" s="1485"/>
      <c r="B229" s="1482"/>
      <c r="C229" s="866" t="s">
        <v>22</v>
      </c>
      <c r="D229" s="512"/>
      <c r="E229" s="539">
        <f t="shared" ref="E229:E291" si="24">(H24*($C$122-$D$122)*$E$122)/1000</f>
        <v>16.750192800000001</v>
      </c>
      <c r="F229" s="539">
        <f t="shared" ref="F229:F291" si="25">D229+E229</f>
        <v>16.750192800000001</v>
      </c>
      <c r="G229" s="1044"/>
      <c r="H229" s="539">
        <f t="shared" si="18"/>
        <v>14.861827200000002</v>
      </c>
      <c r="I229" s="539">
        <f t="shared" si="19"/>
        <v>14.861827200000002</v>
      </c>
      <c r="J229" s="1044"/>
      <c r="K229" s="539">
        <f t="shared" si="20"/>
        <v>12.433132799999999</v>
      </c>
      <c r="L229" s="539">
        <f t="shared" si="21"/>
        <v>12.433132799999999</v>
      </c>
      <c r="M229" s="1044"/>
      <c r="N229" s="539">
        <f t="shared" si="22"/>
        <v>0</v>
      </c>
      <c r="O229" s="539">
        <f t="shared" si="23"/>
        <v>0</v>
      </c>
    </row>
    <row r="230" spans="1:15">
      <c r="A230" s="1485"/>
      <c r="B230" s="1482"/>
      <c r="C230" s="866" t="s">
        <v>803</v>
      </c>
      <c r="D230" s="512"/>
      <c r="E230" s="539">
        <f t="shared" si="24"/>
        <v>25.08559679999999</v>
      </c>
      <c r="F230" s="539">
        <f t="shared" si="25"/>
        <v>25.08559679999999</v>
      </c>
      <c r="G230" s="1044"/>
      <c r="H230" s="539">
        <f t="shared" si="18"/>
        <v>22.257523199999994</v>
      </c>
      <c r="I230" s="539">
        <f t="shared" si="19"/>
        <v>22.257523199999994</v>
      </c>
      <c r="J230" s="1044"/>
      <c r="K230" s="539">
        <f t="shared" si="20"/>
        <v>18.620236799999994</v>
      </c>
      <c r="L230" s="539">
        <f t="shared" si="21"/>
        <v>18.620236799999994</v>
      </c>
      <c r="M230" s="1044"/>
      <c r="N230" s="539">
        <f t="shared" si="22"/>
        <v>0</v>
      </c>
      <c r="O230" s="539">
        <f t="shared" si="23"/>
        <v>0</v>
      </c>
    </row>
    <row r="231" spans="1:15">
      <c r="A231" s="1485"/>
      <c r="B231" s="1482"/>
      <c r="C231" s="866" t="s">
        <v>802</v>
      </c>
      <c r="D231" s="512"/>
      <c r="E231" s="539">
        <f t="shared" si="24"/>
        <v>114.13240901333333</v>
      </c>
      <c r="F231" s="539">
        <f t="shared" si="25"/>
        <v>114.13240901333333</v>
      </c>
      <c r="G231" s="1044"/>
      <c r="H231" s="539">
        <f t="shared" si="18"/>
        <v>101.26546965333331</v>
      </c>
      <c r="I231" s="539">
        <f t="shared" si="19"/>
        <v>101.26546965333331</v>
      </c>
      <c r="J231" s="1044"/>
      <c r="K231" s="539">
        <f t="shared" si="20"/>
        <v>84.716839679999978</v>
      </c>
      <c r="L231" s="539">
        <f t="shared" si="21"/>
        <v>84.716839679999978</v>
      </c>
      <c r="M231" s="1044"/>
      <c r="N231" s="539">
        <f t="shared" si="22"/>
        <v>0</v>
      </c>
      <c r="O231" s="539">
        <f t="shared" si="23"/>
        <v>0</v>
      </c>
    </row>
    <row r="232" spans="1:15">
      <c r="A232" s="1485"/>
      <c r="B232" s="1482"/>
      <c r="C232" s="866" t="s">
        <v>587</v>
      </c>
      <c r="D232" s="512"/>
      <c r="E232" s="539">
        <f t="shared" si="24"/>
        <v>59.098896413333314</v>
      </c>
      <c r="F232" s="539">
        <f t="shared" si="25"/>
        <v>59.098896413333314</v>
      </c>
      <c r="G232" s="1044"/>
      <c r="H232" s="539">
        <f t="shared" si="18"/>
        <v>52.43626725333332</v>
      </c>
      <c r="I232" s="539">
        <f t="shared" si="19"/>
        <v>52.43626725333332</v>
      </c>
      <c r="J232" s="1044"/>
      <c r="K232" s="539">
        <f t="shared" si="20"/>
        <v>43.867222079999983</v>
      </c>
      <c r="L232" s="539">
        <f t="shared" si="21"/>
        <v>43.867222079999983</v>
      </c>
      <c r="M232" s="1044"/>
      <c r="N232" s="539">
        <f t="shared" si="22"/>
        <v>0</v>
      </c>
      <c r="O232" s="539">
        <f t="shared" si="23"/>
        <v>0</v>
      </c>
    </row>
    <row r="233" spans="1:15">
      <c r="A233" s="1485"/>
      <c r="B233" s="1482"/>
      <c r="C233" s="866" t="s">
        <v>20</v>
      </c>
      <c r="D233" s="512"/>
      <c r="E233" s="539">
        <f t="shared" si="24"/>
        <v>158.78327182666663</v>
      </c>
      <c r="F233" s="539">
        <f t="shared" si="25"/>
        <v>158.78327182666663</v>
      </c>
      <c r="G233" s="1044"/>
      <c r="H233" s="539">
        <f t="shared" si="18"/>
        <v>140.88253050666663</v>
      </c>
      <c r="I233" s="539">
        <f t="shared" si="19"/>
        <v>140.88253050666663</v>
      </c>
      <c r="J233" s="1044"/>
      <c r="K233" s="539">
        <f t="shared" si="20"/>
        <v>117.85974815999997</v>
      </c>
      <c r="L233" s="539">
        <f t="shared" si="21"/>
        <v>117.85974815999997</v>
      </c>
      <c r="M233" s="1044"/>
      <c r="N233" s="539">
        <f t="shared" si="22"/>
        <v>0</v>
      </c>
      <c r="O233" s="539">
        <f t="shared" si="23"/>
        <v>0</v>
      </c>
    </row>
    <row r="234" spans="1:15">
      <c r="A234" s="1485"/>
      <c r="B234" s="1482"/>
      <c r="C234" s="866" t="s">
        <v>586</v>
      </c>
      <c r="D234" s="512"/>
      <c r="E234" s="539">
        <f t="shared" si="24"/>
        <v>63.06813641333332</v>
      </c>
      <c r="F234" s="539">
        <f t="shared" si="25"/>
        <v>63.06813641333332</v>
      </c>
      <c r="G234" s="1044"/>
      <c r="H234" s="539">
        <f t="shared" si="18"/>
        <v>55.958027253333327</v>
      </c>
      <c r="I234" s="539">
        <f t="shared" si="19"/>
        <v>55.958027253333327</v>
      </c>
      <c r="J234" s="1044"/>
      <c r="K234" s="539">
        <f t="shared" si="20"/>
        <v>46.813462079999994</v>
      </c>
      <c r="L234" s="539">
        <f t="shared" si="21"/>
        <v>46.813462079999994</v>
      </c>
      <c r="M234" s="1044"/>
      <c r="N234" s="539">
        <f t="shared" si="22"/>
        <v>0</v>
      </c>
      <c r="O234" s="539">
        <f t="shared" si="23"/>
        <v>0</v>
      </c>
    </row>
    <row r="235" spans="1:15" ht="15" customHeight="1">
      <c r="A235" s="1485"/>
      <c r="B235" s="1482"/>
      <c r="C235" s="866" t="s">
        <v>19</v>
      </c>
      <c r="D235" s="512"/>
      <c r="E235" s="539">
        <f>(H30*($C$122-$D$122)*$E$122)/1000</f>
        <v>147.08151127999997</v>
      </c>
      <c r="F235" s="539">
        <f>D235+E235</f>
        <v>147.08151127999997</v>
      </c>
      <c r="G235" s="1044"/>
      <c r="H235" s="539">
        <f t="shared" si="18"/>
        <v>130.49999072</v>
      </c>
      <c r="I235" s="539">
        <f t="shared" si="19"/>
        <v>130.49999072</v>
      </c>
      <c r="J235" s="1044"/>
      <c r="K235" s="539">
        <f t="shared" si="20"/>
        <v>109.17390527999999</v>
      </c>
      <c r="L235" s="539">
        <f t="shared" si="21"/>
        <v>109.17390527999999</v>
      </c>
      <c r="M235" s="1044"/>
      <c r="N235" s="539">
        <f t="shared" si="22"/>
        <v>0</v>
      </c>
      <c r="O235" s="539">
        <f t="shared" si="23"/>
        <v>0</v>
      </c>
    </row>
    <row r="236" spans="1:15">
      <c r="A236" s="1485"/>
      <c r="B236" s="1483"/>
      <c r="C236" s="866" t="s">
        <v>588</v>
      </c>
      <c r="D236" s="512"/>
      <c r="E236" s="539">
        <f t="shared" si="24"/>
        <v>34.53238799999999</v>
      </c>
      <c r="F236" s="539">
        <f t="shared" si="25"/>
        <v>34.53238799999999</v>
      </c>
      <c r="G236" s="1044"/>
      <c r="H236" s="539">
        <f t="shared" si="18"/>
        <v>30.639311999999993</v>
      </c>
      <c r="I236" s="539">
        <f t="shared" si="19"/>
        <v>30.639311999999993</v>
      </c>
      <c r="J236" s="1044"/>
      <c r="K236" s="539">
        <f t="shared" si="20"/>
        <v>25.632287999999992</v>
      </c>
      <c r="L236" s="539">
        <f t="shared" si="21"/>
        <v>25.632287999999992</v>
      </c>
      <c r="M236" s="1044"/>
      <c r="N236" s="539">
        <f t="shared" si="22"/>
        <v>0</v>
      </c>
      <c r="O236" s="539">
        <f t="shared" si="23"/>
        <v>0</v>
      </c>
    </row>
    <row r="237" spans="1:15">
      <c r="A237" s="1485"/>
      <c r="B237" s="1487" t="s">
        <v>810</v>
      </c>
      <c r="C237" s="868" t="s">
        <v>9</v>
      </c>
      <c r="D237" s="512"/>
      <c r="E237" s="539">
        <f t="shared" si="24"/>
        <v>161.01222059999998</v>
      </c>
      <c r="F237" s="539">
        <f t="shared" si="25"/>
        <v>161.01222059999998</v>
      </c>
      <c r="G237" s="1044"/>
      <c r="H237" s="539">
        <f t="shared" si="18"/>
        <v>142.86019439999998</v>
      </c>
      <c r="I237" s="539">
        <f t="shared" si="19"/>
        <v>142.86019439999998</v>
      </c>
      <c r="J237" s="1044"/>
      <c r="K237" s="539">
        <f t="shared" si="20"/>
        <v>119.51422559999999</v>
      </c>
      <c r="L237" s="539">
        <f t="shared" si="21"/>
        <v>119.51422559999999</v>
      </c>
      <c r="M237" s="1044"/>
      <c r="N237" s="539">
        <f t="shared" si="22"/>
        <v>0</v>
      </c>
      <c r="O237" s="539">
        <f t="shared" si="23"/>
        <v>0</v>
      </c>
    </row>
    <row r="238" spans="1:15">
      <c r="A238" s="1485"/>
      <c r="B238" s="1488"/>
      <c r="C238" s="866" t="s">
        <v>804</v>
      </c>
      <c r="D238" s="512"/>
      <c r="E238" s="539">
        <f t="shared" si="24"/>
        <v>543.94200344000001</v>
      </c>
      <c r="F238" s="539">
        <f t="shared" si="25"/>
        <v>543.94200344000001</v>
      </c>
      <c r="G238" s="1044"/>
      <c r="H238" s="539">
        <f t="shared" si="18"/>
        <v>482.61964255999993</v>
      </c>
      <c r="I238" s="539">
        <f t="shared" si="19"/>
        <v>482.61964255999993</v>
      </c>
      <c r="J238" s="1044"/>
      <c r="K238" s="539">
        <f t="shared" si="20"/>
        <v>403.75076544000001</v>
      </c>
      <c r="L238" s="539">
        <f t="shared" si="21"/>
        <v>403.75076544000001</v>
      </c>
      <c r="M238" s="1044"/>
      <c r="N238" s="539">
        <f t="shared" si="22"/>
        <v>0</v>
      </c>
      <c r="O238" s="539">
        <f t="shared" si="23"/>
        <v>0</v>
      </c>
    </row>
    <row r="239" spans="1:15">
      <c r="A239" s="1485"/>
      <c r="B239" s="1488"/>
      <c r="C239" s="866" t="s">
        <v>22</v>
      </c>
      <c r="D239" s="512"/>
      <c r="E239" s="539">
        <f t="shared" si="24"/>
        <v>16.750192800000001</v>
      </c>
      <c r="F239" s="539">
        <f t="shared" si="25"/>
        <v>16.750192800000001</v>
      </c>
      <c r="G239" s="1044"/>
      <c r="H239" s="539">
        <f t="shared" si="18"/>
        <v>14.861827200000002</v>
      </c>
      <c r="I239" s="539">
        <f t="shared" si="19"/>
        <v>14.861827200000002</v>
      </c>
      <c r="J239" s="1044"/>
      <c r="K239" s="539">
        <f t="shared" si="20"/>
        <v>12.433132799999999</v>
      </c>
      <c r="L239" s="539">
        <f t="shared" si="21"/>
        <v>12.433132799999999</v>
      </c>
      <c r="M239" s="1044"/>
      <c r="N239" s="539">
        <f t="shared" si="22"/>
        <v>0</v>
      </c>
      <c r="O239" s="539">
        <f t="shared" si="23"/>
        <v>0</v>
      </c>
    </row>
    <row r="240" spans="1:15">
      <c r="A240" s="1485"/>
      <c r="B240" s="1488"/>
      <c r="C240" s="866" t="s">
        <v>803</v>
      </c>
      <c r="D240" s="512"/>
      <c r="E240" s="539">
        <f t="shared" si="24"/>
        <v>27.705295199999998</v>
      </c>
      <c r="F240" s="539">
        <f t="shared" si="25"/>
        <v>27.705295199999998</v>
      </c>
      <c r="G240" s="1044"/>
      <c r="H240" s="539">
        <f t="shared" si="18"/>
        <v>24.581884799999997</v>
      </c>
      <c r="I240" s="539">
        <f t="shared" si="19"/>
        <v>24.581884799999997</v>
      </c>
      <c r="J240" s="1044"/>
      <c r="K240" s="539">
        <f t="shared" si="20"/>
        <v>20.564755199999997</v>
      </c>
      <c r="L240" s="539">
        <f t="shared" si="21"/>
        <v>20.564755199999997</v>
      </c>
      <c r="M240" s="1044"/>
      <c r="N240" s="539">
        <f t="shared" si="22"/>
        <v>0</v>
      </c>
      <c r="O240" s="539">
        <f t="shared" si="23"/>
        <v>0</v>
      </c>
    </row>
    <row r="241" spans="1:15">
      <c r="A241" s="1485"/>
      <c r="B241" s="1488"/>
      <c r="C241" s="866" t="s">
        <v>802</v>
      </c>
      <c r="D241" s="512"/>
      <c r="E241" s="539">
        <f t="shared" si="24"/>
        <v>114.13240901333333</v>
      </c>
      <c r="F241" s="539">
        <f t="shared" si="25"/>
        <v>114.13240901333333</v>
      </c>
      <c r="G241" s="1044"/>
      <c r="H241" s="539">
        <f t="shared" si="18"/>
        <v>101.26546965333331</v>
      </c>
      <c r="I241" s="539">
        <f t="shared" si="19"/>
        <v>101.26546965333331</v>
      </c>
      <c r="J241" s="1044"/>
      <c r="K241" s="539">
        <f t="shared" si="20"/>
        <v>84.716839679999978</v>
      </c>
      <c r="L241" s="539">
        <f t="shared" si="21"/>
        <v>84.716839679999978</v>
      </c>
      <c r="M241" s="1044"/>
      <c r="N241" s="539">
        <f t="shared" si="22"/>
        <v>0</v>
      </c>
      <c r="O241" s="539">
        <f t="shared" si="23"/>
        <v>0</v>
      </c>
    </row>
    <row r="242" spans="1:15">
      <c r="A242" s="1485"/>
      <c r="B242" s="1488"/>
      <c r="C242" s="866" t="s">
        <v>587</v>
      </c>
      <c r="D242" s="512"/>
      <c r="E242" s="539">
        <f t="shared" si="24"/>
        <v>59.098896413333314</v>
      </c>
      <c r="F242" s="539">
        <f t="shared" si="25"/>
        <v>59.098896413333314</v>
      </c>
      <c r="G242" s="1044"/>
      <c r="H242" s="539">
        <f t="shared" si="18"/>
        <v>52.43626725333332</v>
      </c>
      <c r="I242" s="539">
        <f t="shared" si="19"/>
        <v>52.43626725333332</v>
      </c>
      <c r="J242" s="1044"/>
      <c r="K242" s="539">
        <f t="shared" si="20"/>
        <v>43.867222079999983</v>
      </c>
      <c r="L242" s="539">
        <f t="shared" si="21"/>
        <v>43.867222079999983</v>
      </c>
      <c r="M242" s="1044"/>
      <c r="N242" s="539">
        <f t="shared" si="22"/>
        <v>0</v>
      </c>
      <c r="O242" s="539">
        <f t="shared" si="23"/>
        <v>0</v>
      </c>
    </row>
    <row r="243" spans="1:15" ht="15" customHeight="1">
      <c r="A243" s="1485"/>
      <c r="B243" s="1488"/>
      <c r="C243" s="866" t="s">
        <v>20</v>
      </c>
      <c r="D243" s="512"/>
      <c r="E243" s="539">
        <f t="shared" si="24"/>
        <v>158.78327182666663</v>
      </c>
      <c r="F243" s="539">
        <f t="shared" si="25"/>
        <v>158.78327182666663</v>
      </c>
      <c r="G243" s="1044"/>
      <c r="H243" s="539">
        <f t="shared" si="18"/>
        <v>140.88253050666663</v>
      </c>
      <c r="I243" s="539">
        <f t="shared" si="19"/>
        <v>140.88253050666663</v>
      </c>
      <c r="J243" s="1044"/>
      <c r="K243" s="539">
        <f t="shared" si="20"/>
        <v>117.85974815999997</v>
      </c>
      <c r="L243" s="539">
        <f t="shared" si="21"/>
        <v>117.85974815999997</v>
      </c>
      <c r="M243" s="1044"/>
      <c r="N243" s="539">
        <f t="shared" si="22"/>
        <v>0</v>
      </c>
      <c r="O243" s="539">
        <f t="shared" si="23"/>
        <v>0</v>
      </c>
    </row>
    <row r="244" spans="1:15">
      <c r="A244" s="1485"/>
      <c r="B244" s="1488"/>
      <c r="C244" s="866" t="s">
        <v>586</v>
      </c>
      <c r="D244" s="512"/>
      <c r="E244" s="539">
        <f t="shared" si="24"/>
        <v>63.06813641333332</v>
      </c>
      <c r="F244" s="539">
        <f t="shared" si="25"/>
        <v>63.06813641333332</v>
      </c>
      <c r="G244" s="1044"/>
      <c r="H244" s="539">
        <f t="shared" si="18"/>
        <v>55.958027253333327</v>
      </c>
      <c r="I244" s="539">
        <f t="shared" si="19"/>
        <v>55.958027253333327</v>
      </c>
      <c r="J244" s="1044"/>
      <c r="K244" s="539">
        <f t="shared" si="20"/>
        <v>46.813462079999994</v>
      </c>
      <c r="L244" s="539">
        <f t="shared" si="21"/>
        <v>46.813462079999994</v>
      </c>
      <c r="M244" s="1044"/>
      <c r="N244" s="539">
        <f t="shared" si="22"/>
        <v>0</v>
      </c>
      <c r="O244" s="539">
        <f t="shared" si="23"/>
        <v>0</v>
      </c>
    </row>
    <row r="245" spans="1:15">
      <c r="A245" s="1485"/>
      <c r="B245" s="1488"/>
      <c r="C245" s="866" t="s">
        <v>19</v>
      </c>
      <c r="D245" s="512"/>
      <c r="E245" s="539">
        <f t="shared" si="24"/>
        <v>147.08151127999997</v>
      </c>
      <c r="F245" s="539">
        <f t="shared" si="25"/>
        <v>147.08151127999997</v>
      </c>
      <c r="G245" s="1044"/>
      <c r="H245" s="539">
        <f t="shared" si="18"/>
        <v>130.49999072</v>
      </c>
      <c r="I245" s="539">
        <f t="shared" si="19"/>
        <v>130.49999072</v>
      </c>
      <c r="J245" s="1044"/>
      <c r="K245" s="539">
        <f t="shared" si="20"/>
        <v>109.17390527999999</v>
      </c>
      <c r="L245" s="539">
        <f t="shared" si="21"/>
        <v>109.17390527999999</v>
      </c>
      <c r="M245" s="1044"/>
      <c r="N245" s="539">
        <f t="shared" si="22"/>
        <v>0</v>
      </c>
      <c r="O245" s="539">
        <f t="shared" si="23"/>
        <v>0</v>
      </c>
    </row>
    <row r="246" spans="1:15">
      <c r="A246" s="1486"/>
      <c r="B246" s="1489"/>
      <c r="C246" s="869" t="s">
        <v>588</v>
      </c>
      <c r="D246" s="512"/>
      <c r="E246" s="539">
        <f t="shared" si="24"/>
        <v>34.53238799999999</v>
      </c>
      <c r="F246" s="539">
        <f t="shared" si="25"/>
        <v>34.53238799999999</v>
      </c>
      <c r="G246" s="1044"/>
      <c r="H246" s="539">
        <f t="shared" si="18"/>
        <v>30.639311999999993</v>
      </c>
      <c r="I246" s="539">
        <f t="shared" si="19"/>
        <v>30.639311999999993</v>
      </c>
      <c r="J246" s="1044"/>
      <c r="K246" s="539">
        <f t="shared" si="20"/>
        <v>25.632287999999992</v>
      </c>
      <c r="L246" s="539">
        <f t="shared" si="21"/>
        <v>25.632287999999992</v>
      </c>
      <c r="M246" s="1044"/>
      <c r="N246" s="539">
        <f t="shared" si="22"/>
        <v>0</v>
      </c>
      <c r="O246" s="539">
        <f t="shared" si="23"/>
        <v>0</v>
      </c>
    </row>
    <row r="247" spans="1:15">
      <c r="A247" s="1369" t="s">
        <v>835</v>
      </c>
      <c r="B247" s="1481" t="s">
        <v>809</v>
      </c>
      <c r="C247" s="868" t="s">
        <v>9</v>
      </c>
      <c r="D247" s="512"/>
      <c r="E247" s="539">
        <f t="shared" si="24"/>
        <v>121.161051</v>
      </c>
      <c r="F247" s="539">
        <f t="shared" si="25"/>
        <v>121.161051</v>
      </c>
      <c r="G247" s="1044"/>
      <c r="H247" s="539">
        <f t="shared" si="18"/>
        <v>107.50172399999998</v>
      </c>
      <c r="I247" s="539">
        <f t="shared" si="19"/>
        <v>107.50172399999998</v>
      </c>
      <c r="J247" s="1044"/>
      <c r="K247" s="539">
        <f t="shared" si="20"/>
        <v>89.933976000000001</v>
      </c>
      <c r="L247" s="539">
        <f t="shared" si="21"/>
        <v>89.933976000000001</v>
      </c>
      <c r="M247" s="1044"/>
      <c r="N247" s="539">
        <f t="shared" si="22"/>
        <v>0</v>
      </c>
      <c r="O247" s="539">
        <f t="shared" si="23"/>
        <v>0</v>
      </c>
    </row>
    <row r="248" spans="1:15">
      <c r="A248" s="1370"/>
      <c r="B248" s="1482"/>
      <c r="C248" s="866" t="s">
        <v>804</v>
      </c>
      <c r="D248" s="512"/>
      <c r="E248" s="539">
        <f t="shared" si="24"/>
        <v>443.04392264000001</v>
      </c>
      <c r="F248" s="539">
        <f t="shared" si="25"/>
        <v>443.04392264000001</v>
      </c>
      <c r="G248" s="1044"/>
      <c r="H248" s="539">
        <f t="shared" si="18"/>
        <v>393.09650336000004</v>
      </c>
      <c r="I248" s="539">
        <f t="shared" si="19"/>
        <v>393.09650336000004</v>
      </c>
      <c r="J248" s="1044"/>
      <c r="K248" s="539">
        <f t="shared" si="20"/>
        <v>328.85734464000001</v>
      </c>
      <c r="L248" s="539">
        <f t="shared" si="21"/>
        <v>328.85734464000001</v>
      </c>
      <c r="M248" s="1044"/>
      <c r="N248" s="539">
        <f t="shared" si="22"/>
        <v>0</v>
      </c>
      <c r="O248" s="539">
        <f t="shared" si="23"/>
        <v>0</v>
      </c>
    </row>
    <row r="249" spans="1:15">
      <c r="A249" s="1370"/>
      <c r="B249" s="1482"/>
      <c r="C249" s="866" t="s">
        <v>22</v>
      </c>
      <c r="D249" s="512"/>
      <c r="E249" s="539">
        <f t="shared" si="24"/>
        <v>4.0486247999999998</v>
      </c>
      <c r="F249" s="539">
        <f t="shared" si="25"/>
        <v>4.0486247999999998</v>
      </c>
      <c r="G249" s="1044"/>
      <c r="H249" s="539">
        <f t="shared" si="18"/>
        <v>3.5921951999999999</v>
      </c>
      <c r="I249" s="539">
        <f t="shared" si="19"/>
        <v>3.5921951999999999</v>
      </c>
      <c r="J249" s="1044"/>
      <c r="K249" s="539">
        <f t="shared" si="20"/>
        <v>3.0051648000000002</v>
      </c>
      <c r="L249" s="539">
        <f t="shared" si="21"/>
        <v>3.0051648000000002</v>
      </c>
      <c r="M249" s="1044"/>
      <c r="N249" s="539">
        <f t="shared" si="22"/>
        <v>0</v>
      </c>
      <c r="O249" s="539">
        <f t="shared" si="23"/>
        <v>0</v>
      </c>
    </row>
    <row r="250" spans="1:15">
      <c r="A250" s="1370"/>
      <c r="B250" s="1482"/>
      <c r="C250" s="866" t="s">
        <v>803</v>
      </c>
      <c r="D250" s="512"/>
      <c r="E250" s="539">
        <f t="shared" si="24"/>
        <v>21.275126399999994</v>
      </c>
      <c r="F250" s="539">
        <f t="shared" si="25"/>
        <v>21.275126399999994</v>
      </c>
      <c r="G250" s="1044"/>
      <c r="H250" s="539">
        <f t="shared" si="18"/>
        <v>18.876633599999998</v>
      </c>
      <c r="I250" s="539">
        <f t="shared" si="19"/>
        <v>18.876633599999998</v>
      </c>
      <c r="J250" s="1044"/>
      <c r="K250" s="539">
        <f t="shared" si="20"/>
        <v>15.791846399999995</v>
      </c>
      <c r="L250" s="539">
        <f t="shared" si="21"/>
        <v>15.791846399999995</v>
      </c>
      <c r="M250" s="1044"/>
      <c r="N250" s="539">
        <f t="shared" si="22"/>
        <v>0</v>
      </c>
      <c r="O250" s="539">
        <f t="shared" si="23"/>
        <v>0</v>
      </c>
    </row>
    <row r="251" spans="1:15" ht="15" customHeight="1">
      <c r="A251" s="1370"/>
      <c r="B251" s="1482"/>
      <c r="C251" s="866" t="s">
        <v>802</v>
      </c>
      <c r="D251" s="512"/>
      <c r="E251" s="539">
        <f t="shared" si="24"/>
        <v>72.296619413333332</v>
      </c>
      <c r="F251" s="539">
        <f t="shared" si="25"/>
        <v>72.296619413333332</v>
      </c>
      <c r="G251" s="1044"/>
      <c r="H251" s="539">
        <f t="shared" si="18"/>
        <v>64.146119253333325</v>
      </c>
      <c r="I251" s="539">
        <f t="shared" si="19"/>
        <v>64.146119253333325</v>
      </c>
      <c r="J251" s="1044"/>
      <c r="K251" s="539">
        <f t="shared" si="20"/>
        <v>53.663470079999989</v>
      </c>
      <c r="L251" s="539">
        <f t="shared" si="21"/>
        <v>53.663470079999989</v>
      </c>
      <c r="M251" s="1044"/>
      <c r="N251" s="539">
        <f t="shared" si="22"/>
        <v>0</v>
      </c>
      <c r="O251" s="539">
        <f t="shared" si="23"/>
        <v>0</v>
      </c>
    </row>
    <row r="252" spans="1:15">
      <c r="A252" s="1370"/>
      <c r="B252" s="1482"/>
      <c r="C252" s="866" t="s">
        <v>587</v>
      </c>
      <c r="D252" s="512"/>
      <c r="E252" s="539">
        <f t="shared" si="24"/>
        <v>44.253938813333328</v>
      </c>
      <c r="F252" s="539">
        <f t="shared" si="25"/>
        <v>44.253938813333328</v>
      </c>
      <c r="G252" s="1044"/>
      <c r="H252" s="539">
        <f t="shared" si="18"/>
        <v>39.264884853333321</v>
      </c>
      <c r="I252" s="539">
        <f t="shared" si="19"/>
        <v>39.264884853333321</v>
      </c>
      <c r="J252" s="1044"/>
      <c r="K252" s="539">
        <f t="shared" si="20"/>
        <v>32.84828447999999</v>
      </c>
      <c r="L252" s="539">
        <f t="shared" si="21"/>
        <v>32.84828447999999</v>
      </c>
      <c r="M252" s="1044"/>
      <c r="N252" s="539">
        <f t="shared" si="22"/>
        <v>0</v>
      </c>
      <c r="O252" s="539">
        <f t="shared" si="23"/>
        <v>0</v>
      </c>
    </row>
    <row r="253" spans="1:15">
      <c r="A253" s="1370"/>
      <c r="B253" s="1482"/>
      <c r="C253" s="866" t="s">
        <v>20</v>
      </c>
      <c r="D253" s="512"/>
      <c r="E253" s="539">
        <f t="shared" si="24"/>
        <v>122.10749422666663</v>
      </c>
      <c r="F253" s="539">
        <f t="shared" si="25"/>
        <v>122.10749422666663</v>
      </c>
      <c r="G253" s="1044"/>
      <c r="H253" s="539">
        <f t="shared" si="18"/>
        <v>108.34146810666664</v>
      </c>
      <c r="I253" s="539">
        <f t="shared" si="19"/>
        <v>108.34146810666664</v>
      </c>
      <c r="J253" s="1044"/>
      <c r="K253" s="539">
        <f t="shared" si="20"/>
        <v>90.63649055999997</v>
      </c>
      <c r="L253" s="539">
        <f t="shared" si="21"/>
        <v>90.63649055999997</v>
      </c>
      <c r="M253" s="1044"/>
      <c r="N253" s="539">
        <f t="shared" si="22"/>
        <v>0</v>
      </c>
      <c r="O253" s="539">
        <f t="shared" si="23"/>
        <v>0</v>
      </c>
    </row>
    <row r="254" spans="1:15">
      <c r="A254" s="1370"/>
      <c r="B254" s="1482"/>
      <c r="C254" s="866" t="s">
        <v>586</v>
      </c>
      <c r="D254" s="512"/>
      <c r="E254" s="539">
        <f t="shared" si="24"/>
        <v>47.032406813333317</v>
      </c>
      <c r="F254" s="539">
        <f t="shared" si="25"/>
        <v>47.032406813333317</v>
      </c>
      <c r="G254" s="1044"/>
      <c r="H254" s="539">
        <f t="shared" si="18"/>
        <v>41.730116853333321</v>
      </c>
      <c r="I254" s="539">
        <f t="shared" si="19"/>
        <v>41.730116853333321</v>
      </c>
      <c r="J254" s="1044"/>
      <c r="K254" s="539">
        <f t="shared" si="20"/>
        <v>34.910652479999989</v>
      </c>
      <c r="L254" s="539">
        <f t="shared" si="21"/>
        <v>34.910652479999989</v>
      </c>
      <c r="M254" s="1044"/>
      <c r="N254" s="539">
        <f t="shared" si="22"/>
        <v>0</v>
      </c>
      <c r="O254" s="539">
        <f t="shared" si="23"/>
        <v>0</v>
      </c>
    </row>
    <row r="255" spans="1:15">
      <c r="A255" s="1370"/>
      <c r="B255" s="1482"/>
      <c r="C255" s="866" t="s">
        <v>19</v>
      </c>
      <c r="D255" s="512"/>
      <c r="E255" s="539">
        <f t="shared" si="24"/>
        <v>92.941077679999992</v>
      </c>
      <c r="F255" s="539">
        <f t="shared" si="25"/>
        <v>92.941077679999992</v>
      </c>
      <c r="G255" s="1044"/>
      <c r="H255" s="539">
        <f t="shared" si="18"/>
        <v>82.463184319999996</v>
      </c>
      <c r="I255" s="539">
        <f t="shared" si="19"/>
        <v>82.463184319999996</v>
      </c>
      <c r="J255" s="1044"/>
      <c r="K255" s="539">
        <f t="shared" si="20"/>
        <v>68.987191679999995</v>
      </c>
      <c r="L255" s="539">
        <f t="shared" si="21"/>
        <v>68.987191679999995</v>
      </c>
      <c r="M255" s="1044"/>
      <c r="N255" s="539">
        <f t="shared" si="22"/>
        <v>0</v>
      </c>
      <c r="O255" s="539">
        <f t="shared" si="23"/>
        <v>0</v>
      </c>
    </row>
    <row r="256" spans="1:15">
      <c r="A256" s="1370"/>
      <c r="B256" s="1483"/>
      <c r="C256" s="866" t="s">
        <v>588</v>
      </c>
      <c r="D256" s="512"/>
      <c r="E256" s="539">
        <f t="shared" si="24"/>
        <v>7.3827863999999996</v>
      </c>
      <c r="F256" s="539">
        <f t="shared" si="25"/>
        <v>7.3827863999999996</v>
      </c>
      <c r="G256" s="1044"/>
      <c r="H256" s="539">
        <f t="shared" si="18"/>
        <v>6.5504736000000001</v>
      </c>
      <c r="I256" s="539">
        <f t="shared" si="19"/>
        <v>6.5504736000000001</v>
      </c>
      <c r="J256" s="1044"/>
      <c r="K256" s="539">
        <f t="shared" si="20"/>
        <v>5.4800064000000006</v>
      </c>
      <c r="L256" s="539">
        <f t="shared" si="21"/>
        <v>5.4800064000000006</v>
      </c>
      <c r="M256" s="1044"/>
      <c r="N256" s="539">
        <f t="shared" si="22"/>
        <v>0</v>
      </c>
      <c r="O256" s="539">
        <f t="shared" si="23"/>
        <v>0</v>
      </c>
    </row>
    <row r="257" spans="1:15">
      <c r="A257" s="1370"/>
      <c r="B257" s="1487" t="s">
        <v>810</v>
      </c>
      <c r="C257" s="868" t="s">
        <v>9</v>
      </c>
      <c r="D257" s="512"/>
      <c r="E257" s="539">
        <f t="shared" si="24"/>
        <v>121.161051</v>
      </c>
      <c r="F257" s="539">
        <f t="shared" si="25"/>
        <v>121.161051</v>
      </c>
      <c r="G257" s="1044"/>
      <c r="H257" s="539">
        <f t="shared" si="18"/>
        <v>107.50172399999998</v>
      </c>
      <c r="I257" s="539">
        <f t="shared" si="19"/>
        <v>107.50172399999998</v>
      </c>
      <c r="J257" s="1044"/>
      <c r="K257" s="539">
        <f t="shared" si="20"/>
        <v>89.933976000000001</v>
      </c>
      <c r="L257" s="539">
        <f t="shared" si="21"/>
        <v>89.933976000000001</v>
      </c>
      <c r="M257" s="1044"/>
      <c r="N257" s="539">
        <f t="shared" si="22"/>
        <v>0</v>
      </c>
      <c r="O257" s="539">
        <f t="shared" si="23"/>
        <v>0</v>
      </c>
    </row>
    <row r="258" spans="1:15">
      <c r="A258" s="1370"/>
      <c r="B258" s="1488"/>
      <c r="C258" s="866" t="s">
        <v>804</v>
      </c>
      <c r="D258" s="512"/>
      <c r="E258" s="539">
        <f t="shared" si="24"/>
        <v>443.04392264000001</v>
      </c>
      <c r="F258" s="539">
        <f t="shared" si="25"/>
        <v>443.04392264000001</v>
      </c>
      <c r="G258" s="1044"/>
      <c r="H258" s="539">
        <f t="shared" si="18"/>
        <v>393.09650336000004</v>
      </c>
      <c r="I258" s="539">
        <f t="shared" si="19"/>
        <v>393.09650336000004</v>
      </c>
      <c r="J258" s="1044"/>
      <c r="K258" s="539">
        <f t="shared" si="20"/>
        <v>328.85734464000001</v>
      </c>
      <c r="L258" s="539">
        <f t="shared" si="21"/>
        <v>328.85734464000001</v>
      </c>
      <c r="M258" s="1044"/>
      <c r="N258" s="539">
        <f t="shared" si="22"/>
        <v>0</v>
      </c>
      <c r="O258" s="539">
        <f t="shared" si="23"/>
        <v>0</v>
      </c>
    </row>
    <row r="259" spans="1:15">
      <c r="A259" s="1370"/>
      <c r="B259" s="1488"/>
      <c r="C259" s="866" t="s">
        <v>22</v>
      </c>
      <c r="D259" s="512"/>
      <c r="E259" s="539">
        <f t="shared" si="24"/>
        <v>4.0486247999999998</v>
      </c>
      <c r="F259" s="539">
        <f t="shared" si="25"/>
        <v>4.0486247999999998</v>
      </c>
      <c r="G259" s="1044"/>
      <c r="H259" s="539">
        <f t="shared" si="18"/>
        <v>3.5921951999999999</v>
      </c>
      <c r="I259" s="539">
        <f t="shared" si="19"/>
        <v>3.5921951999999999</v>
      </c>
      <c r="J259" s="1044"/>
      <c r="K259" s="539">
        <f t="shared" si="20"/>
        <v>3.0051648000000002</v>
      </c>
      <c r="L259" s="539">
        <f t="shared" si="21"/>
        <v>3.0051648000000002</v>
      </c>
      <c r="M259" s="1044"/>
      <c r="N259" s="539">
        <f t="shared" si="22"/>
        <v>0</v>
      </c>
      <c r="O259" s="539">
        <f t="shared" si="23"/>
        <v>0</v>
      </c>
    </row>
    <row r="260" spans="1:15">
      <c r="A260" s="1370"/>
      <c r="B260" s="1488"/>
      <c r="C260" s="866" t="s">
        <v>803</v>
      </c>
      <c r="D260" s="512"/>
      <c r="E260" s="539">
        <f t="shared" si="24"/>
        <v>21.275126399999994</v>
      </c>
      <c r="F260" s="539">
        <f t="shared" si="25"/>
        <v>21.275126399999994</v>
      </c>
      <c r="G260" s="1044"/>
      <c r="H260" s="539">
        <f t="shared" si="18"/>
        <v>18.876633599999998</v>
      </c>
      <c r="I260" s="539">
        <f t="shared" si="19"/>
        <v>18.876633599999998</v>
      </c>
      <c r="J260" s="1044"/>
      <c r="K260" s="539">
        <f t="shared" si="20"/>
        <v>15.791846399999995</v>
      </c>
      <c r="L260" s="539">
        <f t="shared" si="21"/>
        <v>15.791846399999995</v>
      </c>
      <c r="M260" s="1044"/>
      <c r="N260" s="539">
        <f t="shared" si="22"/>
        <v>0</v>
      </c>
      <c r="O260" s="539">
        <f t="shared" si="23"/>
        <v>0</v>
      </c>
    </row>
    <row r="261" spans="1:15">
      <c r="A261" s="1370"/>
      <c r="B261" s="1488"/>
      <c r="C261" s="866" t="s">
        <v>802</v>
      </c>
      <c r="D261" s="512"/>
      <c r="E261" s="539">
        <f t="shared" si="24"/>
        <v>72.296619413333332</v>
      </c>
      <c r="F261" s="539">
        <f t="shared" si="25"/>
        <v>72.296619413333332</v>
      </c>
      <c r="G261" s="1044"/>
      <c r="H261" s="539">
        <f t="shared" si="18"/>
        <v>64.146119253333325</v>
      </c>
      <c r="I261" s="539">
        <f t="shared" si="19"/>
        <v>64.146119253333325</v>
      </c>
      <c r="J261" s="1044"/>
      <c r="K261" s="539">
        <f t="shared" si="20"/>
        <v>53.663470079999989</v>
      </c>
      <c r="L261" s="539">
        <f t="shared" si="21"/>
        <v>53.663470079999989</v>
      </c>
      <c r="M261" s="1044"/>
      <c r="N261" s="539">
        <f t="shared" si="22"/>
        <v>0</v>
      </c>
      <c r="O261" s="539">
        <f t="shared" si="23"/>
        <v>0</v>
      </c>
    </row>
    <row r="262" spans="1:15">
      <c r="A262" s="1370"/>
      <c r="B262" s="1488"/>
      <c r="C262" s="866" t="s">
        <v>587</v>
      </c>
      <c r="D262" s="512"/>
      <c r="E262" s="539">
        <f t="shared" si="24"/>
        <v>44.253938813333328</v>
      </c>
      <c r="F262" s="539">
        <f t="shared" si="25"/>
        <v>44.253938813333328</v>
      </c>
      <c r="G262" s="1044"/>
      <c r="H262" s="539">
        <f t="shared" si="18"/>
        <v>39.264884853333321</v>
      </c>
      <c r="I262" s="539">
        <f t="shared" si="19"/>
        <v>39.264884853333321</v>
      </c>
      <c r="J262" s="1044"/>
      <c r="K262" s="539">
        <f t="shared" si="20"/>
        <v>32.84828447999999</v>
      </c>
      <c r="L262" s="539">
        <f t="shared" si="21"/>
        <v>32.84828447999999</v>
      </c>
      <c r="M262" s="1044"/>
      <c r="N262" s="539">
        <f t="shared" si="22"/>
        <v>0</v>
      </c>
      <c r="O262" s="539">
        <f t="shared" si="23"/>
        <v>0</v>
      </c>
    </row>
    <row r="263" spans="1:15">
      <c r="A263" s="1370"/>
      <c r="B263" s="1488"/>
      <c r="C263" s="866" t="s">
        <v>20</v>
      </c>
      <c r="D263" s="512"/>
      <c r="E263" s="539">
        <f t="shared" si="24"/>
        <v>122.10749422666663</v>
      </c>
      <c r="F263" s="539">
        <f t="shared" si="25"/>
        <v>122.10749422666663</v>
      </c>
      <c r="G263" s="1044"/>
      <c r="H263" s="539">
        <f t="shared" si="18"/>
        <v>108.34146810666664</v>
      </c>
      <c r="I263" s="539">
        <f t="shared" si="19"/>
        <v>108.34146810666664</v>
      </c>
      <c r="J263" s="1044"/>
      <c r="K263" s="539">
        <f t="shared" si="20"/>
        <v>90.63649055999997</v>
      </c>
      <c r="L263" s="539">
        <f t="shared" si="21"/>
        <v>90.63649055999997</v>
      </c>
      <c r="M263" s="1044"/>
      <c r="N263" s="539">
        <f t="shared" si="22"/>
        <v>0</v>
      </c>
      <c r="O263" s="539">
        <f t="shared" si="23"/>
        <v>0</v>
      </c>
    </row>
    <row r="264" spans="1:15">
      <c r="A264" s="1370"/>
      <c r="B264" s="1488"/>
      <c r="C264" s="866" t="s">
        <v>586</v>
      </c>
      <c r="D264" s="512"/>
      <c r="E264" s="539">
        <f t="shared" si="24"/>
        <v>47.032406813333317</v>
      </c>
      <c r="F264" s="539">
        <f t="shared" si="25"/>
        <v>47.032406813333317</v>
      </c>
      <c r="G264" s="1044"/>
      <c r="H264" s="539">
        <f t="shared" si="18"/>
        <v>41.730116853333321</v>
      </c>
      <c r="I264" s="539">
        <f t="shared" si="19"/>
        <v>41.730116853333321</v>
      </c>
      <c r="J264" s="1044"/>
      <c r="K264" s="539">
        <f t="shared" si="20"/>
        <v>34.910652479999989</v>
      </c>
      <c r="L264" s="539">
        <f t="shared" si="21"/>
        <v>34.910652479999989</v>
      </c>
      <c r="M264" s="1044"/>
      <c r="N264" s="539">
        <f t="shared" si="22"/>
        <v>0</v>
      </c>
      <c r="O264" s="539">
        <f t="shared" si="23"/>
        <v>0</v>
      </c>
    </row>
    <row r="265" spans="1:15">
      <c r="A265" s="1370"/>
      <c r="B265" s="1488"/>
      <c r="C265" s="866" t="s">
        <v>19</v>
      </c>
      <c r="D265" s="512"/>
      <c r="E265" s="539">
        <f t="shared" si="24"/>
        <v>92.941077679999992</v>
      </c>
      <c r="F265" s="539">
        <f t="shared" si="25"/>
        <v>92.941077679999992</v>
      </c>
      <c r="G265" s="1044"/>
      <c r="H265" s="539">
        <f t="shared" si="18"/>
        <v>82.463184319999996</v>
      </c>
      <c r="I265" s="539">
        <f t="shared" si="19"/>
        <v>82.463184319999996</v>
      </c>
      <c r="J265" s="1044"/>
      <c r="K265" s="539">
        <f t="shared" si="20"/>
        <v>68.987191679999995</v>
      </c>
      <c r="L265" s="539">
        <f t="shared" si="21"/>
        <v>68.987191679999995</v>
      </c>
      <c r="M265" s="1044"/>
      <c r="N265" s="539">
        <f t="shared" si="22"/>
        <v>0</v>
      </c>
      <c r="O265" s="539">
        <f t="shared" si="23"/>
        <v>0</v>
      </c>
    </row>
    <row r="266" spans="1:15">
      <c r="A266" s="1371"/>
      <c r="B266" s="1489"/>
      <c r="C266" s="869" t="s">
        <v>588</v>
      </c>
      <c r="D266" s="512"/>
      <c r="E266" s="539">
        <f t="shared" si="24"/>
        <v>7.3827863999999996</v>
      </c>
      <c r="F266" s="539">
        <f t="shared" si="25"/>
        <v>7.3827863999999996</v>
      </c>
      <c r="G266" s="1044"/>
      <c r="H266" s="539">
        <f t="shared" si="18"/>
        <v>6.5504736000000001</v>
      </c>
      <c r="I266" s="539">
        <f t="shared" si="19"/>
        <v>6.5504736000000001</v>
      </c>
      <c r="J266" s="1044"/>
      <c r="K266" s="539">
        <f t="shared" si="20"/>
        <v>5.4800064000000006</v>
      </c>
      <c r="L266" s="539">
        <f t="shared" si="21"/>
        <v>5.4800064000000006</v>
      </c>
      <c r="M266" s="1044"/>
      <c r="N266" s="539">
        <f t="shared" si="22"/>
        <v>0</v>
      </c>
      <c r="O266" s="539">
        <f t="shared" si="23"/>
        <v>0</v>
      </c>
    </row>
    <row r="267" spans="1:15">
      <c r="A267" s="1377" t="s">
        <v>857</v>
      </c>
      <c r="B267" s="1375" t="s">
        <v>809</v>
      </c>
      <c r="C267" s="921" t="s">
        <v>9</v>
      </c>
      <c r="D267" s="512"/>
      <c r="E267" s="539">
        <f t="shared" si="24"/>
        <v>148.54880700000001</v>
      </c>
      <c r="F267" s="539">
        <f t="shared" si="25"/>
        <v>148.54880700000001</v>
      </c>
      <c r="G267" s="1044"/>
      <c r="H267" s="539">
        <f t="shared" si="18"/>
        <v>131.80186799999998</v>
      </c>
      <c r="I267" s="539">
        <f t="shared" si="19"/>
        <v>131.80186799999998</v>
      </c>
      <c r="J267" s="1044"/>
      <c r="K267" s="539">
        <f t="shared" si="20"/>
        <v>110.26303200000001</v>
      </c>
      <c r="L267" s="539">
        <f t="shared" si="21"/>
        <v>110.26303200000001</v>
      </c>
      <c r="M267" s="1044"/>
      <c r="N267" s="539">
        <f t="shared" si="22"/>
        <v>0</v>
      </c>
      <c r="O267" s="539">
        <f t="shared" si="23"/>
        <v>0</v>
      </c>
    </row>
    <row r="268" spans="1:15">
      <c r="A268" s="1377"/>
      <c r="B268" s="1375"/>
      <c r="C268" s="921" t="s">
        <v>804</v>
      </c>
      <c r="D268" s="512"/>
      <c r="E268" s="539">
        <f t="shared" si="24"/>
        <v>512.42623784</v>
      </c>
      <c r="F268" s="539">
        <f t="shared" si="25"/>
        <v>512.42623784</v>
      </c>
      <c r="G268" s="1044"/>
      <c r="H268" s="539">
        <f t="shared" si="18"/>
        <v>454.65686816000004</v>
      </c>
      <c r="I268" s="539">
        <f t="shared" si="19"/>
        <v>454.65686816000004</v>
      </c>
      <c r="J268" s="1044"/>
      <c r="K268" s="539">
        <f t="shared" si="20"/>
        <v>380.35761984000004</v>
      </c>
      <c r="L268" s="539">
        <f t="shared" si="21"/>
        <v>380.35761984000004</v>
      </c>
      <c r="M268" s="1044"/>
      <c r="N268" s="539">
        <f t="shared" si="22"/>
        <v>0</v>
      </c>
      <c r="O268" s="539">
        <f t="shared" si="23"/>
        <v>0</v>
      </c>
    </row>
    <row r="269" spans="1:15">
      <c r="A269" s="1377"/>
      <c r="B269" s="1375"/>
      <c r="C269" s="921" t="s">
        <v>22</v>
      </c>
      <c r="D269" s="512"/>
      <c r="E269" s="539">
        <f t="shared" si="24"/>
        <v>12.7809528</v>
      </c>
      <c r="F269" s="539">
        <f t="shared" si="25"/>
        <v>12.7809528</v>
      </c>
      <c r="G269" s="1044"/>
      <c r="H269" s="539">
        <f t="shared" si="18"/>
        <v>11.3400672</v>
      </c>
      <c r="I269" s="539">
        <f t="shared" si="19"/>
        <v>11.3400672</v>
      </c>
      <c r="J269" s="1044"/>
      <c r="K269" s="539">
        <f t="shared" si="20"/>
        <v>9.4868927999999997</v>
      </c>
      <c r="L269" s="539">
        <f t="shared" si="21"/>
        <v>9.4868927999999997</v>
      </c>
      <c r="M269" s="1044"/>
      <c r="N269" s="539">
        <f t="shared" si="22"/>
        <v>0</v>
      </c>
      <c r="O269" s="539">
        <f t="shared" si="23"/>
        <v>0</v>
      </c>
    </row>
    <row r="270" spans="1:15">
      <c r="A270" s="1377"/>
      <c r="B270" s="1375"/>
      <c r="C270" s="921" t="s">
        <v>803</v>
      </c>
      <c r="D270" s="512"/>
      <c r="E270" s="539">
        <f t="shared" si="24"/>
        <v>25.641290399999995</v>
      </c>
      <c r="F270" s="539">
        <f t="shared" si="25"/>
        <v>25.641290399999995</v>
      </c>
      <c r="G270" s="1044"/>
      <c r="H270" s="539">
        <f t="shared" si="18"/>
        <v>22.750569599999999</v>
      </c>
      <c r="I270" s="539">
        <f t="shared" si="19"/>
        <v>22.750569599999999</v>
      </c>
      <c r="J270" s="1044"/>
      <c r="K270" s="539">
        <f t="shared" si="20"/>
        <v>19.032710399999996</v>
      </c>
      <c r="L270" s="539">
        <f t="shared" si="21"/>
        <v>19.032710399999996</v>
      </c>
      <c r="M270" s="1044"/>
      <c r="N270" s="539">
        <f t="shared" si="22"/>
        <v>0</v>
      </c>
      <c r="O270" s="539">
        <f t="shared" si="23"/>
        <v>0</v>
      </c>
    </row>
    <row r="271" spans="1:15">
      <c r="A271" s="1377"/>
      <c r="B271" s="1375"/>
      <c r="C271" s="921" t="s">
        <v>802</v>
      </c>
      <c r="D271" s="512"/>
      <c r="E271" s="539">
        <f t="shared" si="24"/>
        <v>101.03391701333332</v>
      </c>
      <c r="F271" s="539">
        <f t="shared" si="25"/>
        <v>101.03391701333332</v>
      </c>
      <c r="G271" s="1044"/>
      <c r="H271" s="539">
        <f t="shared" si="18"/>
        <v>89.643661653333311</v>
      </c>
      <c r="I271" s="539">
        <f t="shared" si="19"/>
        <v>89.643661653333311</v>
      </c>
      <c r="J271" s="1044"/>
      <c r="K271" s="539">
        <f t="shared" si="20"/>
        <v>74.994247679999987</v>
      </c>
      <c r="L271" s="539">
        <f t="shared" si="21"/>
        <v>74.994247679999987</v>
      </c>
      <c r="M271" s="1044"/>
      <c r="N271" s="539">
        <f t="shared" si="22"/>
        <v>0</v>
      </c>
      <c r="O271" s="539">
        <f t="shared" si="23"/>
        <v>0</v>
      </c>
    </row>
    <row r="272" spans="1:15">
      <c r="A272" s="1377"/>
      <c r="B272" s="1375"/>
      <c r="C272" s="921" t="s">
        <v>587</v>
      </c>
      <c r="D272" s="512"/>
      <c r="E272" s="539">
        <f t="shared" si="24"/>
        <v>54.415193213333325</v>
      </c>
      <c r="F272" s="539">
        <f t="shared" si="25"/>
        <v>54.415193213333325</v>
      </c>
      <c r="G272" s="1044"/>
      <c r="H272" s="539">
        <f t="shared" si="18"/>
        <v>48.280590453333325</v>
      </c>
      <c r="I272" s="539">
        <f t="shared" si="19"/>
        <v>48.280590453333325</v>
      </c>
      <c r="J272" s="1044"/>
      <c r="K272" s="539">
        <f t="shared" si="20"/>
        <v>40.390658879999997</v>
      </c>
      <c r="L272" s="539">
        <f t="shared" si="21"/>
        <v>40.390658879999997</v>
      </c>
      <c r="M272" s="1044"/>
      <c r="N272" s="539">
        <f t="shared" si="22"/>
        <v>0</v>
      </c>
      <c r="O272" s="539">
        <f t="shared" si="23"/>
        <v>0</v>
      </c>
    </row>
    <row r="273" spans="1:15">
      <c r="A273" s="1377"/>
      <c r="B273" s="1375"/>
      <c r="C273" s="921" t="s">
        <v>20</v>
      </c>
      <c r="D273" s="512"/>
      <c r="E273" s="539">
        <f t="shared" si="24"/>
        <v>147.27247582666666</v>
      </c>
      <c r="F273" s="539">
        <f t="shared" si="25"/>
        <v>147.27247582666666</v>
      </c>
      <c r="G273" s="1044"/>
      <c r="H273" s="539">
        <f t="shared" si="18"/>
        <v>130.66942650666667</v>
      </c>
      <c r="I273" s="539">
        <f t="shared" si="19"/>
        <v>130.66942650666667</v>
      </c>
      <c r="J273" s="1044"/>
      <c r="K273" s="539">
        <f t="shared" si="20"/>
        <v>109.31565215999998</v>
      </c>
      <c r="L273" s="539">
        <f t="shared" si="21"/>
        <v>109.31565215999998</v>
      </c>
      <c r="M273" s="1044"/>
      <c r="N273" s="539">
        <f t="shared" si="22"/>
        <v>0</v>
      </c>
      <c r="O273" s="539">
        <f t="shared" si="23"/>
        <v>0</v>
      </c>
    </row>
    <row r="274" spans="1:15">
      <c r="A274" s="1377"/>
      <c r="B274" s="1375"/>
      <c r="C274" s="921" t="s">
        <v>586</v>
      </c>
      <c r="D274" s="512"/>
      <c r="E274" s="539">
        <f t="shared" si="24"/>
        <v>58.066894013333311</v>
      </c>
      <c r="F274" s="539">
        <f t="shared" si="25"/>
        <v>58.066894013333311</v>
      </c>
      <c r="G274" s="1044"/>
      <c r="H274" s="539">
        <f t="shared" si="18"/>
        <v>51.52060965333331</v>
      </c>
      <c r="I274" s="539">
        <f t="shared" si="19"/>
        <v>51.52060965333331</v>
      </c>
      <c r="J274" s="1044"/>
      <c r="K274" s="539">
        <f t="shared" si="20"/>
        <v>43.101199679999986</v>
      </c>
      <c r="L274" s="539">
        <f t="shared" si="21"/>
        <v>43.101199679999986</v>
      </c>
      <c r="M274" s="1044"/>
      <c r="N274" s="539">
        <f t="shared" si="22"/>
        <v>0</v>
      </c>
      <c r="O274" s="539">
        <f t="shared" si="23"/>
        <v>0</v>
      </c>
    </row>
    <row r="275" spans="1:15">
      <c r="A275" s="1377"/>
      <c r="B275" s="1375"/>
      <c r="C275" s="921" t="s">
        <v>19</v>
      </c>
      <c r="D275" s="512"/>
      <c r="E275" s="539">
        <f t="shared" si="24"/>
        <v>130.17254887999999</v>
      </c>
      <c r="F275" s="539">
        <f t="shared" si="25"/>
        <v>130.17254887999999</v>
      </c>
      <c r="G275" s="1044"/>
      <c r="H275" s="539">
        <f t="shared" si="18"/>
        <v>115.49729311999998</v>
      </c>
      <c r="I275" s="539">
        <f t="shared" si="19"/>
        <v>115.49729311999998</v>
      </c>
      <c r="J275" s="1044"/>
      <c r="K275" s="539">
        <f t="shared" si="20"/>
        <v>96.622922880000004</v>
      </c>
      <c r="L275" s="539">
        <f t="shared" si="21"/>
        <v>96.622922880000004</v>
      </c>
      <c r="M275" s="1044"/>
      <c r="N275" s="539">
        <f t="shared" si="22"/>
        <v>0</v>
      </c>
      <c r="O275" s="539">
        <f t="shared" si="23"/>
        <v>0</v>
      </c>
    </row>
    <row r="276" spans="1:15">
      <c r="A276" s="1377"/>
      <c r="B276" s="1375"/>
      <c r="C276" s="921" t="s">
        <v>588</v>
      </c>
      <c r="D276" s="512"/>
      <c r="E276" s="539">
        <f t="shared" si="24"/>
        <v>34.53238799999999</v>
      </c>
      <c r="F276" s="539">
        <f t="shared" si="25"/>
        <v>34.53238799999999</v>
      </c>
      <c r="G276" s="1044"/>
      <c r="H276" s="539">
        <f t="shared" si="18"/>
        <v>30.639311999999993</v>
      </c>
      <c r="I276" s="539">
        <f t="shared" si="19"/>
        <v>30.639311999999993</v>
      </c>
      <c r="J276" s="1044"/>
      <c r="K276" s="539">
        <f t="shared" si="20"/>
        <v>25.632287999999992</v>
      </c>
      <c r="L276" s="539">
        <f t="shared" si="21"/>
        <v>25.632287999999992</v>
      </c>
      <c r="M276" s="1044"/>
      <c r="N276" s="539">
        <f t="shared" si="22"/>
        <v>0</v>
      </c>
      <c r="O276" s="539">
        <f t="shared" si="23"/>
        <v>0</v>
      </c>
    </row>
    <row r="277" spans="1:15">
      <c r="A277" s="1377"/>
      <c r="B277" s="1490" t="s">
        <v>810</v>
      </c>
      <c r="C277" s="920" t="s">
        <v>9</v>
      </c>
      <c r="D277" s="512"/>
      <c r="E277" s="539">
        <f t="shared" si="24"/>
        <v>148.54880700000001</v>
      </c>
      <c r="F277" s="539">
        <f t="shared" si="25"/>
        <v>148.54880700000001</v>
      </c>
      <c r="G277" s="1044"/>
      <c r="H277" s="539">
        <f t="shared" si="18"/>
        <v>131.80186799999998</v>
      </c>
      <c r="I277" s="539">
        <f t="shared" si="19"/>
        <v>131.80186799999998</v>
      </c>
      <c r="J277" s="1044"/>
      <c r="K277" s="539">
        <f t="shared" si="20"/>
        <v>110.26303200000001</v>
      </c>
      <c r="L277" s="539">
        <f t="shared" si="21"/>
        <v>110.26303200000001</v>
      </c>
      <c r="M277" s="1044"/>
      <c r="N277" s="539">
        <f t="shared" si="22"/>
        <v>0</v>
      </c>
      <c r="O277" s="539">
        <f t="shared" si="23"/>
        <v>0</v>
      </c>
    </row>
    <row r="278" spans="1:15">
      <c r="A278" s="1377"/>
      <c r="B278" s="1490"/>
      <c r="C278" s="921" t="s">
        <v>804</v>
      </c>
      <c r="D278" s="512"/>
      <c r="E278" s="539">
        <f t="shared" si="24"/>
        <v>512.42623784</v>
      </c>
      <c r="F278" s="539">
        <f t="shared" si="25"/>
        <v>512.42623784</v>
      </c>
      <c r="G278" s="1044"/>
      <c r="H278" s="539">
        <f t="shared" si="18"/>
        <v>454.65686816000004</v>
      </c>
      <c r="I278" s="539">
        <f t="shared" si="19"/>
        <v>454.65686816000004</v>
      </c>
      <c r="J278" s="1044"/>
      <c r="K278" s="539">
        <f t="shared" si="20"/>
        <v>380.35761984000004</v>
      </c>
      <c r="L278" s="539">
        <f t="shared" si="21"/>
        <v>380.35761984000004</v>
      </c>
      <c r="M278" s="1044"/>
      <c r="N278" s="539">
        <f t="shared" si="22"/>
        <v>0</v>
      </c>
      <c r="O278" s="539">
        <f t="shared" si="23"/>
        <v>0</v>
      </c>
    </row>
    <row r="279" spans="1:15">
      <c r="A279" s="1377"/>
      <c r="B279" s="1490"/>
      <c r="C279" s="921" t="s">
        <v>22</v>
      </c>
      <c r="D279" s="512"/>
      <c r="E279" s="539">
        <f t="shared" si="24"/>
        <v>12.7809528</v>
      </c>
      <c r="F279" s="539">
        <f t="shared" si="25"/>
        <v>12.7809528</v>
      </c>
      <c r="G279" s="1044"/>
      <c r="H279" s="539">
        <f t="shared" si="18"/>
        <v>11.3400672</v>
      </c>
      <c r="I279" s="539">
        <f t="shared" si="19"/>
        <v>11.3400672</v>
      </c>
      <c r="J279" s="1044"/>
      <c r="K279" s="539">
        <f t="shared" si="20"/>
        <v>9.4868927999999997</v>
      </c>
      <c r="L279" s="539">
        <f t="shared" si="21"/>
        <v>9.4868927999999997</v>
      </c>
      <c r="M279" s="1044"/>
      <c r="N279" s="539">
        <f t="shared" si="22"/>
        <v>0</v>
      </c>
      <c r="O279" s="539">
        <f t="shared" si="23"/>
        <v>0</v>
      </c>
    </row>
    <row r="280" spans="1:15">
      <c r="A280" s="1377"/>
      <c r="B280" s="1490"/>
      <c r="C280" s="921" t="s">
        <v>803</v>
      </c>
      <c r="D280" s="512"/>
      <c r="E280" s="539">
        <f t="shared" si="24"/>
        <v>25.641290399999995</v>
      </c>
      <c r="F280" s="539">
        <f t="shared" si="25"/>
        <v>25.641290399999995</v>
      </c>
      <c r="G280" s="1044"/>
      <c r="H280" s="539">
        <f t="shared" si="18"/>
        <v>22.750569599999999</v>
      </c>
      <c r="I280" s="539">
        <f t="shared" si="19"/>
        <v>22.750569599999999</v>
      </c>
      <c r="J280" s="1044"/>
      <c r="K280" s="539">
        <f t="shared" si="20"/>
        <v>19.032710399999996</v>
      </c>
      <c r="L280" s="539">
        <f t="shared" si="21"/>
        <v>19.032710399999996</v>
      </c>
      <c r="M280" s="1044"/>
      <c r="N280" s="539">
        <f t="shared" si="22"/>
        <v>0</v>
      </c>
      <c r="O280" s="539">
        <f t="shared" si="23"/>
        <v>0</v>
      </c>
    </row>
    <row r="281" spans="1:15">
      <c r="A281" s="1377"/>
      <c r="B281" s="1490"/>
      <c r="C281" s="921" t="s">
        <v>802</v>
      </c>
      <c r="D281" s="512"/>
      <c r="E281" s="539">
        <f t="shared" si="24"/>
        <v>101.03391701333332</v>
      </c>
      <c r="F281" s="539">
        <f t="shared" si="25"/>
        <v>101.03391701333332</v>
      </c>
      <c r="G281" s="1044"/>
      <c r="H281" s="539">
        <f t="shared" si="18"/>
        <v>89.643661653333311</v>
      </c>
      <c r="I281" s="539">
        <f t="shared" si="19"/>
        <v>89.643661653333311</v>
      </c>
      <c r="J281" s="1044"/>
      <c r="K281" s="539">
        <f t="shared" si="20"/>
        <v>74.994247679999987</v>
      </c>
      <c r="L281" s="539">
        <f t="shared" si="21"/>
        <v>74.994247679999987</v>
      </c>
      <c r="M281" s="1044"/>
      <c r="N281" s="539">
        <f t="shared" si="22"/>
        <v>0</v>
      </c>
      <c r="O281" s="539">
        <f t="shared" si="23"/>
        <v>0</v>
      </c>
    </row>
    <row r="282" spans="1:15">
      <c r="A282" s="1377"/>
      <c r="B282" s="1490"/>
      <c r="C282" s="921" t="s">
        <v>587</v>
      </c>
      <c r="D282" s="512"/>
      <c r="E282" s="539">
        <f t="shared" si="24"/>
        <v>54.415193213333325</v>
      </c>
      <c r="F282" s="539">
        <f t="shared" si="25"/>
        <v>54.415193213333325</v>
      </c>
      <c r="G282" s="1044"/>
      <c r="H282" s="539">
        <f t="shared" si="18"/>
        <v>48.280590453333325</v>
      </c>
      <c r="I282" s="539">
        <f t="shared" si="19"/>
        <v>48.280590453333325</v>
      </c>
      <c r="J282" s="1044"/>
      <c r="K282" s="539">
        <f t="shared" si="20"/>
        <v>40.390658879999997</v>
      </c>
      <c r="L282" s="539">
        <f t="shared" si="21"/>
        <v>40.390658879999997</v>
      </c>
      <c r="M282" s="1044"/>
      <c r="N282" s="539">
        <f t="shared" si="22"/>
        <v>0</v>
      </c>
      <c r="O282" s="539">
        <f t="shared" si="23"/>
        <v>0</v>
      </c>
    </row>
    <row r="283" spans="1:15">
      <c r="A283" s="1377"/>
      <c r="B283" s="1490"/>
      <c r="C283" s="921" t="s">
        <v>20</v>
      </c>
      <c r="D283" s="512"/>
      <c r="E283" s="539">
        <f t="shared" si="24"/>
        <v>147.27247582666666</v>
      </c>
      <c r="F283" s="539">
        <f t="shared" si="25"/>
        <v>147.27247582666666</v>
      </c>
      <c r="G283" s="1044"/>
      <c r="H283" s="539">
        <f t="shared" si="18"/>
        <v>130.66942650666667</v>
      </c>
      <c r="I283" s="539">
        <f t="shared" si="19"/>
        <v>130.66942650666667</v>
      </c>
      <c r="J283" s="1044"/>
      <c r="K283" s="539">
        <f t="shared" si="20"/>
        <v>109.31565215999998</v>
      </c>
      <c r="L283" s="539">
        <f t="shared" si="21"/>
        <v>109.31565215999998</v>
      </c>
      <c r="M283" s="1044"/>
      <c r="N283" s="539">
        <f t="shared" si="22"/>
        <v>0</v>
      </c>
      <c r="O283" s="539">
        <f t="shared" si="23"/>
        <v>0</v>
      </c>
    </row>
    <row r="284" spans="1:15">
      <c r="A284" s="1377"/>
      <c r="B284" s="1490"/>
      <c r="C284" s="921" t="s">
        <v>586</v>
      </c>
      <c r="D284" s="512"/>
      <c r="E284" s="539">
        <f t="shared" si="24"/>
        <v>58.066894013333311</v>
      </c>
      <c r="F284" s="539">
        <f t="shared" si="25"/>
        <v>58.066894013333311</v>
      </c>
      <c r="G284" s="1044"/>
      <c r="H284" s="539">
        <f t="shared" si="18"/>
        <v>51.52060965333331</v>
      </c>
      <c r="I284" s="539">
        <f t="shared" si="19"/>
        <v>51.52060965333331</v>
      </c>
      <c r="J284" s="1044"/>
      <c r="K284" s="539">
        <f t="shared" si="20"/>
        <v>43.101199679999986</v>
      </c>
      <c r="L284" s="539">
        <f t="shared" si="21"/>
        <v>43.101199679999986</v>
      </c>
      <c r="M284" s="1044"/>
      <c r="N284" s="539">
        <f t="shared" si="22"/>
        <v>0</v>
      </c>
      <c r="O284" s="539">
        <f t="shared" si="23"/>
        <v>0</v>
      </c>
    </row>
    <row r="285" spans="1:15">
      <c r="A285" s="1377"/>
      <c r="B285" s="1490"/>
      <c r="C285" s="921" t="s">
        <v>19</v>
      </c>
      <c r="D285" s="512"/>
      <c r="E285" s="539">
        <f t="shared" si="24"/>
        <v>130.17254887999999</v>
      </c>
      <c r="F285" s="539">
        <f t="shared" si="25"/>
        <v>130.17254887999999</v>
      </c>
      <c r="G285" s="1044"/>
      <c r="H285" s="539">
        <f t="shared" si="18"/>
        <v>115.49729311999998</v>
      </c>
      <c r="I285" s="539">
        <f t="shared" si="19"/>
        <v>115.49729311999998</v>
      </c>
      <c r="J285" s="1044"/>
      <c r="K285" s="539">
        <f t="shared" si="20"/>
        <v>96.622922880000004</v>
      </c>
      <c r="L285" s="539">
        <f t="shared" si="21"/>
        <v>96.622922880000004</v>
      </c>
      <c r="M285" s="1044"/>
      <c r="N285" s="539">
        <f t="shared" si="22"/>
        <v>0</v>
      </c>
      <c r="O285" s="539">
        <f t="shared" si="23"/>
        <v>0</v>
      </c>
    </row>
    <row r="286" spans="1:15">
      <c r="A286" s="1377"/>
      <c r="B286" s="1490"/>
      <c r="C286" s="869" t="s">
        <v>588</v>
      </c>
      <c r="D286" s="512"/>
      <c r="E286" s="539">
        <f t="shared" si="24"/>
        <v>34.53238799999999</v>
      </c>
      <c r="F286" s="539">
        <f t="shared" si="25"/>
        <v>34.53238799999999</v>
      </c>
      <c r="G286" s="1044"/>
      <c r="H286" s="539">
        <f t="shared" si="18"/>
        <v>30.639311999999993</v>
      </c>
      <c r="I286" s="539">
        <f t="shared" si="19"/>
        <v>30.639311999999993</v>
      </c>
      <c r="J286" s="1044"/>
      <c r="K286" s="539">
        <f t="shared" si="20"/>
        <v>25.632287999999992</v>
      </c>
      <c r="L286" s="539">
        <f t="shared" si="21"/>
        <v>25.632287999999992</v>
      </c>
      <c r="M286" s="1044"/>
      <c r="N286" s="539">
        <f t="shared" si="22"/>
        <v>0</v>
      </c>
      <c r="O286" s="539">
        <f t="shared" si="23"/>
        <v>0</v>
      </c>
    </row>
    <row r="287" spans="1:15">
      <c r="A287" s="1743" t="s">
        <v>863</v>
      </c>
      <c r="B287" s="1743"/>
      <c r="C287" s="1756"/>
      <c r="D287" s="512"/>
      <c r="E287" s="320">
        <f t="shared" si="24"/>
        <v>146.12315699986732</v>
      </c>
      <c r="F287" s="320">
        <f t="shared" si="25"/>
        <v>146.12315699986732</v>
      </c>
      <c r="G287" s="320"/>
      <c r="H287" s="320">
        <f t="shared" si="18"/>
        <v>129.64967837567212</v>
      </c>
      <c r="I287" s="320">
        <f t="shared" si="19"/>
        <v>129.64967837567212</v>
      </c>
      <c r="J287" s="320"/>
      <c r="K287" s="320">
        <f t="shared" si="20"/>
        <v>108.4625495256747</v>
      </c>
      <c r="L287" s="320">
        <f t="shared" si="21"/>
        <v>108.4625495256747</v>
      </c>
      <c r="M287" s="320"/>
      <c r="N287" s="320">
        <f t="shared" si="22"/>
        <v>0</v>
      </c>
      <c r="O287" s="320">
        <f t="shared" si="23"/>
        <v>0</v>
      </c>
    </row>
    <row r="288" spans="1:15">
      <c r="A288" s="1743" t="s">
        <v>861</v>
      </c>
      <c r="B288" s="1743"/>
      <c r="C288" s="1756"/>
      <c r="D288" s="512"/>
      <c r="E288" s="320">
        <f t="shared" si="24"/>
        <v>44.411076923076926</v>
      </c>
      <c r="F288" s="320">
        <f t="shared" si="25"/>
        <v>44.411076923076926</v>
      </c>
      <c r="G288" s="320"/>
      <c r="H288" s="320">
        <f t="shared" si="18"/>
        <v>39.404307692307697</v>
      </c>
      <c r="I288" s="320">
        <f t="shared" si="19"/>
        <v>39.404307692307697</v>
      </c>
      <c r="J288" s="320"/>
      <c r="K288" s="320">
        <f t="shared" si="20"/>
        <v>32.964923076923078</v>
      </c>
      <c r="L288" s="320">
        <f t="shared" si="21"/>
        <v>32.964923076923078</v>
      </c>
      <c r="M288" s="320"/>
      <c r="N288" s="320">
        <f t="shared" si="22"/>
        <v>0</v>
      </c>
      <c r="O288" s="320">
        <f t="shared" si="23"/>
        <v>0</v>
      </c>
    </row>
    <row r="289" spans="1:15">
      <c r="A289" s="1744" t="s">
        <v>23</v>
      </c>
      <c r="B289" s="1744"/>
      <c r="C289" s="1757"/>
      <c r="D289" s="512"/>
      <c r="E289" s="320">
        <f t="shared" si="24"/>
        <v>593.59180710973146</v>
      </c>
      <c r="F289" s="320">
        <f t="shared" si="25"/>
        <v>593.59180710973146</v>
      </c>
      <c r="G289" s="320"/>
      <c r="H289" s="320">
        <f t="shared" si="18"/>
        <v>526.67207893873081</v>
      </c>
      <c r="I289" s="320">
        <f t="shared" si="19"/>
        <v>526.67207893873081</v>
      </c>
      <c r="J289" s="320"/>
      <c r="K289" s="320">
        <f t="shared" si="20"/>
        <v>440.60422795773877</v>
      </c>
      <c r="L289" s="320">
        <f t="shared" si="21"/>
        <v>440.60422795773877</v>
      </c>
      <c r="M289" s="320"/>
      <c r="N289" s="320">
        <f t="shared" si="22"/>
        <v>0</v>
      </c>
      <c r="O289" s="320">
        <f t="shared" si="23"/>
        <v>0</v>
      </c>
    </row>
    <row r="290" spans="1:15">
      <c r="A290" s="1744" t="s">
        <v>862</v>
      </c>
      <c r="B290" s="1744"/>
      <c r="C290" s="1757"/>
      <c r="D290" s="512"/>
      <c r="E290" s="320">
        <f t="shared" si="24"/>
        <v>768.90483858617051</v>
      </c>
      <c r="F290" s="320">
        <f t="shared" si="25"/>
        <v>768.90483858617051</v>
      </c>
      <c r="G290" s="320"/>
      <c r="H290" s="320">
        <f t="shared" si="18"/>
        <v>682.22085445557127</v>
      </c>
      <c r="I290" s="320">
        <f t="shared" si="19"/>
        <v>682.22085445557127</v>
      </c>
      <c r="J290" s="320"/>
      <c r="K290" s="320">
        <f t="shared" si="20"/>
        <v>570.73348843509552</v>
      </c>
      <c r="L290" s="320">
        <f t="shared" si="21"/>
        <v>570.73348843509552</v>
      </c>
      <c r="M290" s="320"/>
      <c r="N290" s="320">
        <f t="shared" si="22"/>
        <v>0</v>
      </c>
      <c r="O290" s="320">
        <f t="shared" si="23"/>
        <v>0</v>
      </c>
    </row>
    <row r="291" spans="1:15">
      <c r="A291" s="1744" t="s">
        <v>658</v>
      </c>
      <c r="B291" s="1744"/>
      <c r="C291" s="1757"/>
      <c r="D291" s="512"/>
      <c r="E291" s="320">
        <f t="shared" si="24"/>
        <v>3558.7858856255989</v>
      </c>
      <c r="F291" s="320">
        <f t="shared" si="25"/>
        <v>3558.7858856255989</v>
      </c>
      <c r="G291" s="320"/>
      <c r="H291" s="320">
        <f t="shared" si="18"/>
        <v>3157.5792294143985</v>
      </c>
      <c r="I291" s="320">
        <f t="shared" si="19"/>
        <v>3157.5792294143985</v>
      </c>
      <c r="J291" s="320"/>
      <c r="K291" s="320">
        <f t="shared" si="20"/>
        <v>2641.5730285055988</v>
      </c>
      <c r="L291" s="320">
        <f t="shared" si="21"/>
        <v>2641.5730285055988</v>
      </c>
      <c r="M291" s="320"/>
      <c r="N291" s="320">
        <f t="shared" si="22"/>
        <v>0</v>
      </c>
      <c r="O291" s="320">
        <f t="shared" si="23"/>
        <v>0</v>
      </c>
    </row>
    <row r="292" spans="1:15">
      <c r="A292" s="1743" t="s">
        <v>16</v>
      </c>
      <c r="B292" s="1743"/>
      <c r="C292" s="1778" t="s">
        <v>16</v>
      </c>
      <c r="D292" s="512"/>
      <c r="E292" s="320">
        <f t="shared" ref="E292:E310" si="26">(H87*($C$122-$D$122)*$E$122)/1000</f>
        <v>125.72679966863582</v>
      </c>
      <c r="F292" s="320">
        <f t="shared" ref="F292:F310" si="27">D292+E292</f>
        <v>125.72679966863582</v>
      </c>
      <c r="G292" s="320"/>
      <c r="H292" s="320">
        <f t="shared" ref="H292:H310" si="28">(H87*($C$123-$D$123)*$E$123)/1000</f>
        <v>111.55274410240119</v>
      </c>
      <c r="I292" s="320">
        <f t="shared" ref="I292:I310" si="29">G292+H292</f>
        <v>111.55274410240119</v>
      </c>
      <c r="J292" s="320"/>
      <c r="K292" s="320">
        <f t="shared" ref="K292:K310" si="30">(H87*($C$124-$D$124)*$E$124)/1000</f>
        <v>93.322985321049273</v>
      </c>
      <c r="L292" s="320">
        <f t="shared" ref="L292:L310" si="31">J292+K292</f>
        <v>93.322985321049273</v>
      </c>
      <c r="M292" s="320"/>
      <c r="N292" s="320">
        <f t="shared" ref="N292:N310" si="32">(H87*($C$125-$D$125)*$E$125)/1000</f>
        <v>0</v>
      </c>
      <c r="O292" s="320">
        <f t="shared" ref="O292:O310" si="33">M292+N292</f>
        <v>0</v>
      </c>
    </row>
    <row r="293" spans="1:15">
      <c r="A293" s="1743"/>
      <c r="B293" s="1743"/>
      <c r="C293" s="1778"/>
      <c r="D293" s="512"/>
      <c r="E293" s="320">
        <f t="shared" si="26"/>
        <v>18.265394624983415</v>
      </c>
      <c r="F293" s="320">
        <f t="shared" si="27"/>
        <v>18.265394624983415</v>
      </c>
      <c r="G293" s="320"/>
      <c r="H293" s="320">
        <f t="shared" si="28"/>
        <v>16.206209796959016</v>
      </c>
      <c r="I293" s="320">
        <f t="shared" si="29"/>
        <v>16.206209796959016</v>
      </c>
      <c r="J293" s="320"/>
      <c r="K293" s="320">
        <f t="shared" si="30"/>
        <v>13.557818690709338</v>
      </c>
      <c r="L293" s="320">
        <f t="shared" si="31"/>
        <v>13.557818690709338</v>
      </c>
      <c r="M293" s="320"/>
      <c r="N293" s="320">
        <f t="shared" si="32"/>
        <v>0</v>
      </c>
      <c r="O293" s="320">
        <f t="shared" si="33"/>
        <v>0</v>
      </c>
    </row>
    <row r="294" spans="1:15">
      <c r="A294" s="1743"/>
      <c r="B294" s="1743"/>
      <c r="C294" s="1778"/>
      <c r="D294" s="512"/>
      <c r="E294" s="320">
        <f t="shared" si="26"/>
        <v>45.663486562458537</v>
      </c>
      <c r="F294" s="320">
        <f t="shared" si="27"/>
        <v>45.663486562458537</v>
      </c>
      <c r="G294" s="320"/>
      <c r="H294" s="320">
        <f t="shared" si="28"/>
        <v>40.515524492397532</v>
      </c>
      <c r="I294" s="320">
        <f t="shared" si="29"/>
        <v>40.515524492397532</v>
      </c>
      <c r="J294" s="320"/>
      <c r="K294" s="320">
        <f t="shared" si="30"/>
        <v>33.894546726773349</v>
      </c>
      <c r="L294" s="320">
        <f t="shared" si="31"/>
        <v>33.894546726773349</v>
      </c>
      <c r="M294" s="320"/>
      <c r="N294" s="320">
        <f t="shared" si="32"/>
        <v>0</v>
      </c>
      <c r="O294" s="320">
        <f t="shared" si="33"/>
        <v>0</v>
      </c>
    </row>
    <row r="295" spans="1:15">
      <c r="A295" s="1743"/>
      <c r="B295" s="1743"/>
      <c r="C295" s="1778"/>
      <c r="D295" s="512"/>
      <c r="E295" s="320">
        <f t="shared" si="26"/>
        <v>50.838681706203829</v>
      </c>
      <c r="F295" s="320">
        <f t="shared" si="27"/>
        <v>50.838681706203829</v>
      </c>
      <c r="G295" s="320"/>
      <c r="H295" s="320">
        <f t="shared" si="28"/>
        <v>45.107283934869244</v>
      </c>
      <c r="I295" s="320">
        <f t="shared" si="29"/>
        <v>45.107283934869244</v>
      </c>
      <c r="J295" s="320"/>
      <c r="K295" s="320">
        <f t="shared" si="30"/>
        <v>37.735928689140984</v>
      </c>
      <c r="L295" s="320">
        <f t="shared" si="31"/>
        <v>37.735928689140984</v>
      </c>
      <c r="M295" s="320"/>
      <c r="N295" s="320">
        <f t="shared" si="32"/>
        <v>0</v>
      </c>
      <c r="O295" s="320">
        <f t="shared" si="33"/>
        <v>0</v>
      </c>
    </row>
    <row r="296" spans="1:15">
      <c r="A296" s="1743"/>
      <c r="B296" s="1743"/>
      <c r="C296" s="1778"/>
      <c r="D296" s="512"/>
      <c r="E296" s="320">
        <f t="shared" si="26"/>
        <v>124.81352993738666</v>
      </c>
      <c r="F296" s="320">
        <f t="shared" si="27"/>
        <v>124.81352993738666</v>
      </c>
      <c r="G296" s="320"/>
      <c r="H296" s="320">
        <f t="shared" si="28"/>
        <v>110.74243361255324</v>
      </c>
      <c r="I296" s="320">
        <f t="shared" si="29"/>
        <v>110.74243361255324</v>
      </c>
      <c r="J296" s="320"/>
      <c r="K296" s="320">
        <f t="shared" si="30"/>
        <v>92.645094386513804</v>
      </c>
      <c r="L296" s="320">
        <f t="shared" si="31"/>
        <v>92.645094386513804</v>
      </c>
      <c r="M296" s="320"/>
      <c r="N296" s="320">
        <f t="shared" si="32"/>
        <v>0</v>
      </c>
      <c r="O296" s="320">
        <f t="shared" si="33"/>
        <v>0</v>
      </c>
    </row>
    <row r="297" spans="1:15">
      <c r="A297" s="1743"/>
      <c r="B297" s="1743"/>
      <c r="C297" s="1778"/>
      <c r="D297" s="512"/>
      <c r="E297" s="320">
        <f t="shared" si="26"/>
        <v>125.72679966863582</v>
      </c>
      <c r="F297" s="320">
        <f t="shared" si="27"/>
        <v>125.72679966863582</v>
      </c>
      <c r="G297" s="320"/>
      <c r="H297" s="320">
        <f t="shared" si="28"/>
        <v>111.55274410240119</v>
      </c>
      <c r="I297" s="320">
        <f t="shared" si="29"/>
        <v>111.55274410240119</v>
      </c>
      <c r="J297" s="320"/>
      <c r="K297" s="320">
        <f t="shared" si="30"/>
        <v>93.322985321049273</v>
      </c>
      <c r="L297" s="320">
        <f t="shared" si="31"/>
        <v>93.322985321049273</v>
      </c>
      <c r="M297" s="320"/>
      <c r="N297" s="320">
        <f t="shared" si="32"/>
        <v>0</v>
      </c>
      <c r="O297" s="320">
        <f t="shared" si="33"/>
        <v>0</v>
      </c>
    </row>
    <row r="298" spans="1:15">
      <c r="A298" s="1743"/>
      <c r="B298" s="1743"/>
      <c r="C298" s="1778"/>
      <c r="D298" s="512"/>
      <c r="E298" s="320">
        <f t="shared" si="26"/>
        <v>18.265394624983415</v>
      </c>
      <c r="F298" s="320">
        <f t="shared" si="27"/>
        <v>18.265394624983415</v>
      </c>
      <c r="G298" s="320"/>
      <c r="H298" s="320">
        <f t="shared" si="28"/>
        <v>16.206209796959016</v>
      </c>
      <c r="I298" s="320">
        <f t="shared" si="29"/>
        <v>16.206209796959016</v>
      </c>
      <c r="J298" s="320"/>
      <c r="K298" s="320">
        <f t="shared" si="30"/>
        <v>13.557818690709338</v>
      </c>
      <c r="L298" s="320">
        <f t="shared" si="31"/>
        <v>13.557818690709338</v>
      </c>
      <c r="M298" s="320"/>
      <c r="N298" s="320">
        <f t="shared" si="32"/>
        <v>0</v>
      </c>
      <c r="O298" s="320">
        <f t="shared" si="33"/>
        <v>0</v>
      </c>
    </row>
    <row r="299" spans="1:15">
      <c r="A299" s="1743"/>
      <c r="B299" s="1743"/>
      <c r="C299" s="1778"/>
      <c r="D299" s="512"/>
      <c r="E299" s="320">
        <f t="shared" si="26"/>
        <v>45.663486562458537</v>
      </c>
      <c r="F299" s="320">
        <f t="shared" si="27"/>
        <v>45.663486562458537</v>
      </c>
      <c r="G299" s="320"/>
      <c r="H299" s="320">
        <f t="shared" si="28"/>
        <v>40.515524492397532</v>
      </c>
      <c r="I299" s="320">
        <f t="shared" si="29"/>
        <v>40.515524492397532</v>
      </c>
      <c r="J299" s="320"/>
      <c r="K299" s="320">
        <f t="shared" si="30"/>
        <v>33.894546726773349</v>
      </c>
      <c r="L299" s="320">
        <f t="shared" si="31"/>
        <v>33.894546726773349</v>
      </c>
      <c r="M299" s="320"/>
      <c r="N299" s="320">
        <f t="shared" si="32"/>
        <v>0</v>
      </c>
      <c r="O299" s="320">
        <f t="shared" si="33"/>
        <v>0</v>
      </c>
    </row>
    <row r="300" spans="1:15">
      <c r="A300" s="1743"/>
      <c r="B300" s="1743"/>
      <c r="C300" s="1778"/>
      <c r="D300" s="512"/>
      <c r="E300" s="320">
        <f t="shared" si="26"/>
        <v>50.838681706203829</v>
      </c>
      <c r="F300" s="320">
        <f t="shared" si="27"/>
        <v>50.838681706203829</v>
      </c>
      <c r="G300" s="320"/>
      <c r="H300" s="320">
        <f t="shared" si="28"/>
        <v>45.107283934869244</v>
      </c>
      <c r="I300" s="320">
        <f t="shared" si="29"/>
        <v>45.107283934869244</v>
      </c>
      <c r="J300" s="320"/>
      <c r="K300" s="320">
        <f t="shared" si="30"/>
        <v>37.735928689140984</v>
      </c>
      <c r="L300" s="320">
        <f t="shared" si="31"/>
        <v>37.735928689140984</v>
      </c>
      <c r="M300" s="320"/>
      <c r="N300" s="320">
        <f t="shared" si="32"/>
        <v>0</v>
      </c>
      <c r="O300" s="320">
        <f t="shared" si="33"/>
        <v>0</v>
      </c>
    </row>
    <row r="301" spans="1:15">
      <c r="A301" s="1743"/>
      <c r="B301" s="1743"/>
      <c r="C301" s="1778"/>
      <c r="D301" s="512"/>
      <c r="E301" s="320">
        <f t="shared" si="26"/>
        <v>124.81352993738666</v>
      </c>
      <c r="F301" s="320">
        <f t="shared" si="27"/>
        <v>124.81352993738666</v>
      </c>
      <c r="G301" s="320"/>
      <c r="H301" s="320">
        <f t="shared" si="28"/>
        <v>110.74243361255324</v>
      </c>
      <c r="I301" s="320">
        <f t="shared" si="29"/>
        <v>110.74243361255324</v>
      </c>
      <c r="J301" s="320"/>
      <c r="K301" s="320">
        <f t="shared" si="30"/>
        <v>92.645094386513804</v>
      </c>
      <c r="L301" s="320">
        <f t="shared" si="31"/>
        <v>92.645094386513804</v>
      </c>
      <c r="M301" s="320"/>
      <c r="N301" s="320">
        <f t="shared" si="32"/>
        <v>0</v>
      </c>
      <c r="O301" s="320">
        <f t="shared" si="33"/>
        <v>0</v>
      </c>
    </row>
    <row r="302" spans="1:15">
      <c r="A302" s="1744" t="s">
        <v>23</v>
      </c>
      <c r="B302" s="1744"/>
      <c r="C302" s="1779" t="s">
        <v>23</v>
      </c>
      <c r="D302" s="512"/>
      <c r="E302" s="320">
        <f t="shared" si="26"/>
        <v>226.72842338109365</v>
      </c>
      <c r="F302" s="320">
        <f t="shared" si="27"/>
        <v>226.72842338109365</v>
      </c>
      <c r="G302" s="320"/>
      <c r="H302" s="320">
        <f t="shared" si="28"/>
        <v>201.16775310301225</v>
      </c>
      <c r="I302" s="320">
        <f t="shared" si="29"/>
        <v>201.16775310301225</v>
      </c>
      <c r="J302" s="320"/>
      <c r="K302" s="320">
        <f t="shared" si="30"/>
        <v>168.29326271586334</v>
      </c>
      <c r="L302" s="320">
        <f t="shared" si="31"/>
        <v>168.29326271586334</v>
      </c>
      <c r="M302" s="320"/>
      <c r="N302" s="320">
        <f t="shared" si="32"/>
        <v>0</v>
      </c>
      <c r="O302" s="320">
        <f t="shared" si="33"/>
        <v>0</v>
      </c>
    </row>
    <row r="303" spans="1:15">
      <c r="A303" s="1744"/>
      <c r="B303" s="1744"/>
      <c r="C303" s="1780"/>
      <c r="D303" s="512"/>
      <c r="E303" s="320">
        <f t="shared" si="26"/>
        <v>226.72842338109365</v>
      </c>
      <c r="F303" s="320">
        <f t="shared" si="27"/>
        <v>226.72842338109365</v>
      </c>
      <c r="G303" s="320"/>
      <c r="H303" s="320">
        <f t="shared" si="28"/>
        <v>201.16775310301225</v>
      </c>
      <c r="I303" s="320">
        <f t="shared" si="29"/>
        <v>201.16775310301225</v>
      </c>
      <c r="J303" s="320"/>
      <c r="K303" s="320">
        <f t="shared" si="30"/>
        <v>168.29326271586334</v>
      </c>
      <c r="L303" s="320">
        <f t="shared" si="31"/>
        <v>168.29326271586334</v>
      </c>
      <c r="M303" s="320"/>
      <c r="N303" s="320">
        <f t="shared" si="32"/>
        <v>0</v>
      </c>
      <c r="O303" s="320">
        <f t="shared" si="33"/>
        <v>0</v>
      </c>
    </row>
    <row r="304" spans="1:15">
      <c r="A304" s="1744"/>
      <c r="B304" s="1744"/>
      <c r="C304" s="1781"/>
      <c r="D304" s="512"/>
      <c r="E304" s="320">
        <f t="shared" si="26"/>
        <v>64.65958740868227</v>
      </c>
      <c r="F304" s="320">
        <f t="shared" si="27"/>
        <v>64.65958740868227</v>
      </c>
      <c r="G304" s="320"/>
      <c r="H304" s="320">
        <f t="shared" si="28"/>
        <v>57.37006292197016</v>
      </c>
      <c r="I304" s="320">
        <f t="shared" si="29"/>
        <v>57.37006292197016</v>
      </c>
      <c r="J304" s="320"/>
      <c r="K304" s="320">
        <f t="shared" si="30"/>
        <v>47.994745293042506</v>
      </c>
      <c r="L304" s="320">
        <f t="shared" si="31"/>
        <v>47.994745293042506</v>
      </c>
      <c r="M304" s="320"/>
      <c r="N304" s="320">
        <f t="shared" si="32"/>
        <v>0</v>
      </c>
      <c r="O304" s="320">
        <f t="shared" si="33"/>
        <v>0</v>
      </c>
    </row>
    <row r="305" spans="1:15">
      <c r="A305" s="1744" t="s">
        <v>862</v>
      </c>
      <c r="B305" s="1744"/>
      <c r="C305" s="1779" t="s">
        <v>862</v>
      </c>
      <c r="D305" s="512"/>
      <c r="E305" s="320">
        <f t="shared" si="26"/>
        <v>0</v>
      </c>
      <c r="F305" s="320">
        <f t="shared" si="27"/>
        <v>0</v>
      </c>
      <c r="G305" s="320"/>
      <c r="H305" s="320">
        <f t="shared" si="28"/>
        <v>0</v>
      </c>
      <c r="I305" s="320">
        <f t="shared" si="29"/>
        <v>0</v>
      </c>
      <c r="J305" s="320"/>
      <c r="K305" s="320">
        <f t="shared" si="30"/>
        <v>0</v>
      </c>
      <c r="L305" s="320">
        <f t="shared" si="31"/>
        <v>0</v>
      </c>
      <c r="M305" s="320"/>
      <c r="N305" s="320">
        <f t="shared" si="32"/>
        <v>0</v>
      </c>
      <c r="O305" s="320">
        <f t="shared" si="33"/>
        <v>0</v>
      </c>
    </row>
    <row r="306" spans="1:15">
      <c r="A306" s="1744"/>
      <c r="B306" s="1744"/>
      <c r="C306" s="1780"/>
      <c r="D306" s="512"/>
      <c r="E306" s="320">
        <f t="shared" si="26"/>
        <v>226.72842338109365</v>
      </c>
      <c r="F306" s="320">
        <f t="shared" si="27"/>
        <v>226.72842338109365</v>
      </c>
      <c r="G306" s="320"/>
      <c r="H306" s="320">
        <f t="shared" si="28"/>
        <v>201.16775310301225</v>
      </c>
      <c r="I306" s="320">
        <f t="shared" si="29"/>
        <v>201.16775310301225</v>
      </c>
      <c r="J306" s="320"/>
      <c r="K306" s="320">
        <f t="shared" si="30"/>
        <v>168.29326271586334</v>
      </c>
      <c r="L306" s="320">
        <f t="shared" si="31"/>
        <v>168.29326271586334</v>
      </c>
      <c r="M306" s="320"/>
      <c r="N306" s="320">
        <f t="shared" si="32"/>
        <v>0</v>
      </c>
      <c r="O306" s="320">
        <f t="shared" si="33"/>
        <v>0</v>
      </c>
    </row>
    <row r="307" spans="1:15">
      <c r="A307" s="1744"/>
      <c r="B307" s="1744"/>
      <c r="C307" s="1780"/>
      <c r="D307" s="512"/>
      <c r="E307" s="320">
        <f t="shared" si="26"/>
        <v>226.72842338109365</v>
      </c>
      <c r="F307" s="320">
        <f t="shared" si="27"/>
        <v>226.72842338109365</v>
      </c>
      <c r="G307" s="320"/>
      <c r="H307" s="320">
        <f t="shared" si="28"/>
        <v>201.16775310301225</v>
      </c>
      <c r="I307" s="320">
        <f t="shared" si="29"/>
        <v>201.16775310301225</v>
      </c>
      <c r="J307" s="320"/>
      <c r="K307" s="320">
        <f t="shared" si="30"/>
        <v>168.29326271586334</v>
      </c>
      <c r="L307" s="320">
        <f t="shared" si="31"/>
        <v>168.29326271586334</v>
      </c>
      <c r="M307" s="320"/>
      <c r="N307" s="320">
        <f t="shared" si="32"/>
        <v>0</v>
      </c>
      <c r="O307" s="320">
        <f t="shared" si="33"/>
        <v>0</v>
      </c>
    </row>
    <row r="308" spans="1:15">
      <c r="A308" s="1744"/>
      <c r="B308" s="1744"/>
      <c r="C308" s="1780"/>
      <c r="D308" s="512"/>
      <c r="E308" s="320">
        <f t="shared" si="26"/>
        <v>64.65958740868227</v>
      </c>
      <c r="F308" s="320">
        <f t="shared" si="27"/>
        <v>64.65958740868227</v>
      </c>
      <c r="G308" s="320"/>
      <c r="H308" s="320">
        <f t="shared" si="28"/>
        <v>57.37006292197016</v>
      </c>
      <c r="I308" s="320">
        <f t="shared" si="29"/>
        <v>57.37006292197016</v>
      </c>
      <c r="J308" s="320"/>
      <c r="K308" s="320">
        <f t="shared" si="30"/>
        <v>47.994745293042506</v>
      </c>
      <c r="L308" s="320">
        <f t="shared" si="31"/>
        <v>47.994745293042506</v>
      </c>
      <c r="M308" s="320"/>
      <c r="N308" s="320">
        <f t="shared" si="32"/>
        <v>0</v>
      </c>
      <c r="O308" s="320">
        <f t="shared" si="33"/>
        <v>0</v>
      </c>
    </row>
    <row r="309" spans="1:15">
      <c r="A309" s="1744"/>
      <c r="B309" s="1744"/>
      <c r="C309" s="1781"/>
      <c r="D309" s="512"/>
      <c r="E309" s="320">
        <f t="shared" si="26"/>
        <v>0</v>
      </c>
      <c r="F309" s="320">
        <f t="shared" si="27"/>
        <v>0</v>
      </c>
      <c r="G309" s="320"/>
      <c r="H309" s="320">
        <f t="shared" si="28"/>
        <v>0</v>
      </c>
      <c r="I309" s="320">
        <f t="shared" si="29"/>
        <v>0</v>
      </c>
      <c r="J309" s="320"/>
      <c r="K309" s="320">
        <f t="shared" si="30"/>
        <v>0</v>
      </c>
      <c r="L309" s="320">
        <f t="shared" si="31"/>
        <v>0</v>
      </c>
      <c r="M309" s="320"/>
      <c r="N309" s="320">
        <f t="shared" si="32"/>
        <v>0</v>
      </c>
      <c r="O309" s="320">
        <f t="shared" si="33"/>
        <v>0</v>
      </c>
    </row>
    <row r="310" spans="1:15">
      <c r="A310" s="1744" t="s">
        <v>658</v>
      </c>
      <c r="B310" s="1744"/>
      <c r="C310" s="1757"/>
      <c r="D310" s="512"/>
      <c r="E310" s="320">
        <f t="shared" si="26"/>
        <v>347.67607568</v>
      </c>
      <c r="F310" s="320">
        <f t="shared" si="27"/>
        <v>347.67607568</v>
      </c>
      <c r="G310" s="320"/>
      <c r="H310" s="320">
        <f t="shared" si="28"/>
        <v>308.48013631999999</v>
      </c>
      <c r="I310" s="320">
        <f t="shared" si="29"/>
        <v>308.48013631999999</v>
      </c>
      <c r="J310" s="320"/>
      <c r="K310" s="320">
        <f t="shared" si="30"/>
        <v>258.06883968</v>
      </c>
      <c r="L310" s="320">
        <f t="shared" si="31"/>
        <v>258.06883968</v>
      </c>
      <c r="M310" s="320"/>
      <c r="N310" s="320">
        <f t="shared" si="32"/>
        <v>0</v>
      </c>
      <c r="O310" s="320">
        <f t="shared" si="33"/>
        <v>0</v>
      </c>
    </row>
    <row r="311" spans="1:15">
      <c r="E311" s="1044">
        <f>SUM(E227:E310)</f>
        <v>14276.801952185513</v>
      </c>
      <c r="F311" s="1044">
        <f>D273+E311</f>
        <v>14276.801952185513</v>
      </c>
      <c r="G311" s="1044"/>
      <c r="H311" s="1044">
        <f>SUM(H227:H310)</f>
        <v>12667.278885411024</v>
      </c>
      <c r="I311" s="1044">
        <f>G311+H311</f>
        <v>12667.278885411024</v>
      </c>
      <c r="J311" s="1044"/>
      <c r="K311" s="320">
        <f>SUM(K227:K310)</f>
        <v>10597.213820178935</v>
      </c>
      <c r="L311" s="1044">
        <f>J311+K311</f>
        <v>10597.213820178935</v>
      </c>
      <c r="M311" s="1044"/>
      <c r="N311" s="320">
        <f>SUM(N227:N310)</f>
        <v>0</v>
      </c>
      <c r="O311" s="1044">
        <f>M311+N311</f>
        <v>0</v>
      </c>
    </row>
    <row r="312" spans="1:15">
      <c r="E312" s="539">
        <f>E311-SUM(E227:E286)</f>
        <v>7226.3414942655127</v>
      </c>
      <c r="F312" s="539">
        <f>D274+E312</f>
        <v>7226.3414942655127</v>
      </c>
      <c r="G312" s="1044"/>
      <c r="H312" s="539">
        <f>H311-SUM(H227:H286)</f>
        <v>6411.6658153310291</v>
      </c>
      <c r="I312" s="539">
        <f>G312+H312</f>
        <v>6411.6658153310291</v>
      </c>
      <c r="J312" s="1044"/>
      <c r="K312" s="539">
        <f>K311-SUM(K227:K286)</f>
        <v>5363.8823462589362</v>
      </c>
      <c r="L312" s="539">
        <f>J312+K312</f>
        <v>5363.8823462589362</v>
      </c>
      <c r="M312" s="1044"/>
      <c r="N312" s="539">
        <f>N311-SUM(N227:N286)</f>
        <v>0</v>
      </c>
      <c r="O312" s="539">
        <f>M312+N312</f>
        <v>0</v>
      </c>
    </row>
  </sheetData>
  <mergeCells count="123">
    <mergeCell ref="A305:B309"/>
    <mergeCell ref="C305:C309"/>
    <mergeCell ref="A310:C310"/>
    <mergeCell ref="A224:C225"/>
    <mergeCell ref="A226:C226"/>
    <mergeCell ref="A287:C287"/>
    <mergeCell ref="A288:C288"/>
    <mergeCell ref="A289:C289"/>
    <mergeCell ref="A290:C290"/>
    <mergeCell ref="A291:C291"/>
    <mergeCell ref="A292:B301"/>
    <mergeCell ref="C292:C301"/>
    <mergeCell ref="A302:B304"/>
    <mergeCell ref="C302:C304"/>
    <mergeCell ref="A130:C130"/>
    <mergeCell ref="A20:C21"/>
    <mergeCell ref="A227:A246"/>
    <mergeCell ref="B227:B236"/>
    <mergeCell ref="B237:B246"/>
    <mergeCell ref="A247:A266"/>
    <mergeCell ref="B247:B256"/>
    <mergeCell ref="B257:B266"/>
    <mergeCell ref="A267:A286"/>
    <mergeCell ref="B267:B276"/>
    <mergeCell ref="B277:B286"/>
    <mergeCell ref="A194:C194"/>
    <mergeCell ref="A195:C195"/>
    <mergeCell ref="A196:B205"/>
    <mergeCell ref="C196:C205"/>
    <mergeCell ref="A206:B208"/>
    <mergeCell ref="C206:C208"/>
    <mergeCell ref="A209:B213"/>
    <mergeCell ref="C209:C213"/>
    <mergeCell ref="A214:C214"/>
    <mergeCell ref="A151:A170"/>
    <mergeCell ref="B151:B160"/>
    <mergeCell ref="B161:B170"/>
    <mergeCell ref="A171:A190"/>
    <mergeCell ref="B171:B180"/>
    <mergeCell ref="B181:B190"/>
    <mergeCell ref="A191:C191"/>
    <mergeCell ref="A192:C192"/>
    <mergeCell ref="A193:C193"/>
    <mergeCell ref="A6:G6"/>
    <mergeCell ref="H116:H117"/>
    <mergeCell ref="I116:I117"/>
    <mergeCell ref="B111:E112"/>
    <mergeCell ref="G111:K111"/>
    <mergeCell ref="G112:K112"/>
    <mergeCell ref="A128:C129"/>
    <mergeCell ref="A7:G7"/>
    <mergeCell ref="A10:B10"/>
    <mergeCell ref="A13:B13"/>
    <mergeCell ref="A14:B14"/>
    <mergeCell ref="A15:B15"/>
    <mergeCell ref="A8:B8"/>
    <mergeCell ref="A9:B9"/>
    <mergeCell ref="A11:B11"/>
    <mergeCell ref="A12:B12"/>
    <mergeCell ref="A18:G18"/>
    <mergeCell ref="A16:B16"/>
    <mergeCell ref="A125:B125"/>
    <mergeCell ref="N112:O112"/>
    <mergeCell ref="L110:M110"/>
    <mergeCell ref="A121:B121"/>
    <mergeCell ref="A122:B122"/>
    <mergeCell ref="A123:B123"/>
    <mergeCell ref="A124:B124"/>
    <mergeCell ref="A22:A41"/>
    <mergeCell ref="B22:B31"/>
    <mergeCell ref="B32:B41"/>
    <mergeCell ref="A42:A61"/>
    <mergeCell ref="B42:B51"/>
    <mergeCell ref="B52:B61"/>
    <mergeCell ref="F116:F117"/>
    <mergeCell ref="G116:G117"/>
    <mergeCell ref="K119:M120"/>
    <mergeCell ref="K121:M121"/>
    <mergeCell ref="A118:B118"/>
    <mergeCell ref="A119:B119"/>
    <mergeCell ref="A120:B120"/>
    <mergeCell ref="N110:O110"/>
    <mergeCell ref="L111:M111"/>
    <mergeCell ref="N111:O111"/>
    <mergeCell ref="L112:M112"/>
    <mergeCell ref="C97:C99"/>
    <mergeCell ref="A97:B99"/>
    <mergeCell ref="N1:O1"/>
    <mergeCell ref="B2:E3"/>
    <mergeCell ref="G2:K2"/>
    <mergeCell ref="L2:M2"/>
    <mergeCell ref="N2:O2"/>
    <mergeCell ref="G3:K3"/>
    <mergeCell ref="L3:M3"/>
    <mergeCell ref="N3:O3"/>
    <mergeCell ref="B1:E1"/>
    <mergeCell ref="F1:F3"/>
    <mergeCell ref="G1:K1"/>
    <mergeCell ref="L1:M1"/>
    <mergeCell ref="A131:A150"/>
    <mergeCell ref="B131:B140"/>
    <mergeCell ref="B141:B150"/>
    <mergeCell ref="A19:G19"/>
    <mergeCell ref="A116:B117"/>
    <mergeCell ref="B110:E110"/>
    <mergeCell ref="F110:F112"/>
    <mergeCell ref="G110:K110"/>
    <mergeCell ref="E116:E117"/>
    <mergeCell ref="D116:D117"/>
    <mergeCell ref="C116:C117"/>
    <mergeCell ref="A82:C82"/>
    <mergeCell ref="A83:C83"/>
    <mergeCell ref="A84:C84"/>
    <mergeCell ref="A62:A81"/>
    <mergeCell ref="B62:B71"/>
    <mergeCell ref="B72:B81"/>
    <mergeCell ref="A100:B104"/>
    <mergeCell ref="C100:C104"/>
    <mergeCell ref="A105:C105"/>
    <mergeCell ref="A85:C85"/>
    <mergeCell ref="A86:C86"/>
    <mergeCell ref="C87:C96"/>
    <mergeCell ref="A87:B96"/>
  </mergeCells>
  <pageMargins left="0.7" right="0.7" top="0.75" bottom="0.75" header="0.3" footer="0.3"/>
  <pageSetup paperSize="9" scale="46" orientation="portrait" horizontalDpi="360" verticalDpi="360"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Z143"/>
  <sheetViews>
    <sheetView topLeftCell="A31" zoomScale="60" zoomScaleNormal="60" zoomScalePageLayoutView="145" workbookViewId="0">
      <selection activeCell="E91" sqref="E91"/>
    </sheetView>
  </sheetViews>
  <sheetFormatPr baseColWidth="10" defaultColWidth="8.83203125" defaultRowHeight="15"/>
  <cols>
    <col min="1" max="1" width="12.6640625" style="20" customWidth="1"/>
    <col min="2" max="2" width="22.1640625" style="20" customWidth="1"/>
    <col min="3" max="15" width="12.6640625" style="20" customWidth="1"/>
    <col min="16" max="19" width="8.83203125" style="20"/>
  </cols>
  <sheetData>
    <row r="1" spans="1:26">
      <c r="A1" s="150" t="s">
        <v>0</v>
      </c>
      <c r="B1" s="1402" t="s">
        <v>566</v>
      </c>
      <c r="C1" s="1403"/>
      <c r="D1" s="1403"/>
      <c r="E1" s="1404"/>
      <c r="F1" s="1508"/>
      <c r="G1" s="1402" t="s">
        <v>567</v>
      </c>
      <c r="H1" s="1403"/>
      <c r="I1" s="1403"/>
      <c r="J1" s="1403"/>
      <c r="K1" s="1404"/>
      <c r="L1" s="1352" t="s">
        <v>5</v>
      </c>
      <c r="M1" s="1353"/>
      <c r="N1" s="1352" t="s">
        <v>6</v>
      </c>
      <c r="O1" s="1353"/>
    </row>
    <row r="2" spans="1:26" ht="24">
      <c r="A2" s="47">
        <v>9</v>
      </c>
      <c r="B2" s="1511" t="s">
        <v>373</v>
      </c>
      <c r="C2" s="1512"/>
      <c r="D2" s="1512"/>
      <c r="E2" s="1513"/>
      <c r="F2" s="1509"/>
      <c r="G2" s="1414" t="s">
        <v>568</v>
      </c>
      <c r="H2" s="1415"/>
      <c r="I2" s="1415"/>
      <c r="J2" s="1415"/>
      <c r="K2" s="1416"/>
      <c r="L2" s="1391" t="s">
        <v>573</v>
      </c>
      <c r="M2" s="1392"/>
      <c r="N2" s="1391" t="str">
        <f>'8.Trasmissione'!N111:O111</f>
        <v>X</v>
      </c>
      <c r="O2" s="1392"/>
    </row>
    <row r="3" spans="1:26">
      <c r="A3" s="48" t="s">
        <v>62</v>
      </c>
      <c r="B3" s="1514"/>
      <c r="C3" s="1515"/>
      <c r="D3" s="1515"/>
      <c r="E3" s="1516"/>
      <c r="F3" s="1510"/>
      <c r="G3" s="1354" t="str">
        <f>'1.Dati'!G3:K3</f>
        <v>LAB. INTEGR. DI PROG. TECN. (TERMOFISICA DELL'EDIFICIO) a.a. 2019/2020</v>
      </c>
      <c r="H3" s="1355"/>
      <c r="I3" s="1355"/>
      <c r="J3" s="1355"/>
      <c r="K3" s="1356"/>
      <c r="L3" s="1357" t="s">
        <v>1028</v>
      </c>
      <c r="M3" s="1358"/>
      <c r="N3" s="1357" t="str">
        <f>'8.Trasmissione'!N112:O112</f>
        <v>Y</v>
      </c>
      <c r="O3" s="1358"/>
    </row>
    <row r="4" spans="1:26" ht="16" thickBot="1"/>
    <row r="5" spans="1:26" ht="15" customHeight="1" thickBot="1">
      <c r="A5" s="1569" t="s">
        <v>381</v>
      </c>
      <c r="B5" s="1788" t="s">
        <v>25</v>
      </c>
      <c r="C5" s="1789"/>
      <c r="D5" s="1787" t="s">
        <v>30</v>
      </c>
      <c r="E5" s="1056" t="s">
        <v>239</v>
      </c>
      <c r="F5" s="1056"/>
      <c r="G5" s="1043" t="s">
        <v>376</v>
      </c>
      <c r="H5" s="1043" t="s">
        <v>377</v>
      </c>
      <c r="I5" s="1043" t="s">
        <v>378</v>
      </c>
      <c r="J5" s="1043"/>
      <c r="K5" s="1029"/>
      <c r="L5" s="359" t="s">
        <v>579</v>
      </c>
      <c r="M5" s="1782" t="s">
        <v>383</v>
      </c>
      <c r="N5" s="1783"/>
      <c r="O5" s="1784" t="s">
        <v>384</v>
      </c>
      <c r="P5" s="1783"/>
    </row>
    <row r="6" spans="1:26" ht="15" customHeight="1">
      <c r="A6" s="1569"/>
      <c r="B6" s="1788"/>
      <c r="C6" s="1789"/>
      <c r="D6" s="1787"/>
      <c r="E6" s="1056"/>
      <c r="F6" s="1056"/>
      <c r="G6" s="1043"/>
      <c r="H6" s="1043"/>
      <c r="I6" s="1043"/>
      <c r="J6" s="1043"/>
      <c r="K6" s="1043"/>
      <c r="L6" s="245"/>
      <c r="M6" s="1465"/>
      <c r="N6" s="1466"/>
      <c r="O6" s="1464"/>
      <c r="P6" s="1466"/>
    </row>
    <row r="7" spans="1:26" ht="15" customHeight="1">
      <c r="A7" s="1569"/>
      <c r="B7" s="1804" t="s">
        <v>24</v>
      </c>
      <c r="C7" s="1805"/>
      <c r="D7" s="247" t="s">
        <v>29</v>
      </c>
      <c r="E7" s="1054" t="s">
        <v>238</v>
      </c>
      <c r="F7" s="1055"/>
      <c r="G7" s="1030" t="s">
        <v>235</v>
      </c>
      <c r="H7" s="1030" t="s">
        <v>237</v>
      </c>
      <c r="I7" s="1051" t="s">
        <v>379</v>
      </c>
      <c r="J7" s="1052"/>
      <c r="K7" s="1030" t="s">
        <v>382</v>
      </c>
      <c r="M7" s="1395" t="s">
        <v>28</v>
      </c>
      <c r="N7" s="1396"/>
      <c r="O7" s="1790" t="s">
        <v>385</v>
      </c>
      <c r="P7" s="1791"/>
    </row>
    <row r="8" spans="1:26" ht="15" customHeight="1">
      <c r="A8" s="1569"/>
      <c r="B8" s="1785"/>
      <c r="C8" s="1786"/>
      <c r="D8" s="186" t="s">
        <v>33</v>
      </c>
      <c r="E8" s="1041" t="s">
        <v>234</v>
      </c>
      <c r="F8" s="1042"/>
      <c r="G8" s="1047" t="s">
        <v>24</v>
      </c>
      <c r="H8" s="1047" t="s">
        <v>236</v>
      </c>
      <c r="I8" s="1032" t="s">
        <v>75</v>
      </c>
      <c r="J8" s="1036"/>
      <c r="K8" s="1040" t="s">
        <v>75</v>
      </c>
      <c r="M8" s="1785" t="s">
        <v>24</v>
      </c>
      <c r="N8" s="1786"/>
      <c r="O8" s="1505" t="s">
        <v>351</v>
      </c>
      <c r="P8" s="1792"/>
    </row>
    <row r="9" spans="1:26" ht="15" customHeight="1">
      <c r="A9" s="1484" t="s">
        <v>34</v>
      </c>
      <c r="B9" s="1796" t="s">
        <v>809</v>
      </c>
      <c r="C9" s="1034" t="s">
        <v>9</v>
      </c>
      <c r="D9" s="1044">
        <f>'1.Dati'!F9</f>
        <v>40.014000000000003</v>
      </c>
      <c r="E9" s="1053">
        <v>1200</v>
      </c>
      <c r="F9" s="1053"/>
      <c r="G9" s="1053">
        <v>1</v>
      </c>
      <c r="H9" s="1053">
        <v>0.3</v>
      </c>
      <c r="I9" s="537">
        <f>(D9*E9*G9*H9)/3600</f>
        <v>4.0014000000000003</v>
      </c>
      <c r="J9" s="1110"/>
      <c r="K9" s="1037">
        <f>SUM(I9:J68)</f>
        <v>211.33936799999995</v>
      </c>
      <c r="M9" s="1108">
        <v>24</v>
      </c>
      <c r="N9" s="1109"/>
      <c r="O9" s="1108">
        <v>20</v>
      </c>
      <c r="P9" s="1109"/>
      <c r="W9" s="9"/>
      <c r="X9" s="9"/>
      <c r="Y9" s="9"/>
      <c r="Z9" s="9"/>
    </row>
    <row r="10" spans="1:26" ht="15" customHeight="1">
      <c r="A10" s="1485"/>
      <c r="B10" s="1797"/>
      <c r="C10" s="1031" t="s">
        <v>804</v>
      </c>
      <c r="D10" s="1044">
        <f>'1.Dati'!F10</f>
        <v>101.41200000000001</v>
      </c>
      <c r="E10" s="1053">
        <v>1200</v>
      </c>
      <c r="F10" s="1053"/>
      <c r="G10" s="1053">
        <v>1</v>
      </c>
      <c r="H10" s="1053">
        <v>0.3</v>
      </c>
      <c r="I10" s="537">
        <f t="shared" ref="I10:I32" si="0">(D10*E10*G10*H10)/3600</f>
        <v>10.1412</v>
      </c>
      <c r="J10" s="1110"/>
      <c r="K10" s="1038"/>
      <c r="W10" s="9"/>
      <c r="X10" s="9"/>
      <c r="Y10" s="9"/>
      <c r="Z10" s="9"/>
    </row>
    <row r="11" spans="1:26" ht="15" customHeight="1">
      <c r="A11" s="1485"/>
      <c r="B11" s="1797"/>
      <c r="C11" s="1031" t="s">
        <v>586</v>
      </c>
      <c r="D11" s="1044">
        <f>'1.Dati'!F11</f>
        <v>16.13898</v>
      </c>
      <c r="E11" s="1053">
        <v>1200</v>
      </c>
      <c r="F11" s="1053"/>
      <c r="G11" s="1053">
        <v>1</v>
      </c>
      <c r="H11" s="1053">
        <v>0.3</v>
      </c>
      <c r="I11" s="537">
        <f t="shared" si="0"/>
        <v>1.6138980000000001</v>
      </c>
      <c r="J11" s="1110"/>
      <c r="K11" s="1038"/>
      <c r="W11" s="9"/>
      <c r="X11" s="543"/>
      <c r="Y11" s="543"/>
      <c r="Z11" s="9"/>
    </row>
    <row r="12" spans="1:26" ht="15" customHeight="1">
      <c r="A12" s="1485"/>
      <c r="B12" s="1797"/>
      <c r="C12" s="1031" t="s">
        <v>587</v>
      </c>
      <c r="D12" s="1044">
        <f>'1.Dati'!F12</f>
        <v>14.904</v>
      </c>
      <c r="E12" s="1053">
        <v>1200</v>
      </c>
      <c r="F12" s="1053"/>
      <c r="G12" s="1053">
        <v>1</v>
      </c>
      <c r="H12" s="1053">
        <v>0.3</v>
      </c>
      <c r="I12" s="537">
        <f t="shared" si="0"/>
        <v>1.4903999999999999</v>
      </c>
      <c r="J12" s="1110"/>
      <c r="K12" s="1038"/>
      <c r="W12" s="9"/>
      <c r="X12" s="543"/>
      <c r="Y12" s="543"/>
      <c r="Z12" s="9"/>
    </row>
    <row r="13" spans="1:26" ht="15" customHeight="1">
      <c r="A13" s="1485"/>
      <c r="B13" s="1797"/>
      <c r="C13" s="1031" t="s">
        <v>803</v>
      </c>
      <c r="D13" s="1044">
        <f>'1.Dati'!F13</f>
        <v>6.4260000000000002</v>
      </c>
      <c r="E13" s="1053">
        <v>1200</v>
      </c>
      <c r="F13" s="1053"/>
      <c r="G13" s="1053">
        <v>1</v>
      </c>
      <c r="H13" s="1053">
        <v>0.3</v>
      </c>
      <c r="I13" s="537">
        <f t="shared" si="0"/>
        <v>0.64259999999999995</v>
      </c>
      <c r="J13" s="1110"/>
      <c r="K13" s="1038"/>
      <c r="W13" s="9"/>
      <c r="X13" s="543"/>
      <c r="Y13" s="543"/>
      <c r="Z13" s="9"/>
    </row>
    <row r="14" spans="1:26" ht="15" customHeight="1">
      <c r="A14" s="1485"/>
      <c r="B14" s="1797"/>
      <c r="C14" s="1031" t="s">
        <v>19</v>
      </c>
      <c r="D14" s="1044">
        <f>'1.Dati'!F14</f>
        <v>54.405000000000001</v>
      </c>
      <c r="E14" s="1053">
        <v>1200</v>
      </c>
      <c r="F14" s="1053"/>
      <c r="G14" s="1053">
        <v>1</v>
      </c>
      <c r="H14" s="1053">
        <v>0.3</v>
      </c>
      <c r="I14" s="537">
        <f t="shared" si="0"/>
        <v>5.4405000000000001</v>
      </c>
      <c r="J14" s="1110"/>
      <c r="K14" s="1038"/>
      <c r="W14" s="9"/>
      <c r="X14" s="543"/>
      <c r="Y14" s="543"/>
      <c r="Z14" s="9"/>
    </row>
    <row r="15" spans="1:26" ht="15" customHeight="1">
      <c r="A15" s="1485"/>
      <c r="B15" s="1797"/>
      <c r="C15" s="1031" t="s">
        <v>20</v>
      </c>
      <c r="D15" s="1044">
        <f>'1.Dati'!F15</f>
        <v>36.828000000000003</v>
      </c>
      <c r="E15" s="1053">
        <v>1200</v>
      </c>
      <c r="F15" s="1053"/>
      <c r="G15" s="1053">
        <v>1</v>
      </c>
      <c r="H15" s="1053">
        <v>0.3</v>
      </c>
      <c r="I15" s="537">
        <f t="shared" si="0"/>
        <v>3.6828000000000003</v>
      </c>
      <c r="J15" s="1110"/>
      <c r="K15" s="1038"/>
      <c r="W15" s="9"/>
      <c r="X15" s="543"/>
      <c r="Y15" s="543"/>
      <c r="Z15" s="9"/>
    </row>
    <row r="16" spans="1:26" ht="15" customHeight="1">
      <c r="A16" s="1485"/>
      <c r="B16" s="1797"/>
      <c r="C16" s="1031" t="s">
        <v>802</v>
      </c>
      <c r="D16" s="1044">
        <f>'1.Dati'!F16</f>
        <v>42.052500000000009</v>
      </c>
      <c r="E16" s="1053">
        <v>1200</v>
      </c>
      <c r="F16" s="1053"/>
      <c r="G16" s="1053">
        <v>1</v>
      </c>
      <c r="H16" s="1053">
        <v>0.3</v>
      </c>
      <c r="I16" s="537">
        <f t="shared" si="0"/>
        <v>4.2052500000000013</v>
      </c>
      <c r="J16" s="1110"/>
      <c r="K16" s="1038"/>
      <c r="W16" s="9"/>
      <c r="X16" s="543"/>
      <c r="Y16" s="543"/>
      <c r="Z16" s="9"/>
    </row>
    <row r="17" spans="1:26" ht="15" customHeight="1">
      <c r="A17" s="1485"/>
      <c r="B17" s="1797"/>
      <c r="C17" s="1031" t="s">
        <v>22</v>
      </c>
      <c r="D17" s="1044">
        <f>'1.Dati'!F17</f>
        <v>12.7818</v>
      </c>
      <c r="E17" s="1053">
        <v>1200</v>
      </c>
      <c r="F17" s="1053"/>
      <c r="G17" s="1053">
        <v>1</v>
      </c>
      <c r="H17" s="1053">
        <v>0.3</v>
      </c>
      <c r="I17" s="537">
        <f>(D17*E17*G17*H17)/3600</f>
        <v>1.2781799999999999</v>
      </c>
      <c r="J17" s="1110"/>
      <c r="K17" s="1038"/>
      <c r="W17" s="9"/>
      <c r="X17" s="543"/>
      <c r="Y17" s="543"/>
      <c r="Z17" s="9"/>
    </row>
    <row r="18" spans="1:26" ht="15" customHeight="1">
      <c r="A18" s="1485"/>
      <c r="B18" s="1798"/>
      <c r="C18" s="1031" t="s">
        <v>588</v>
      </c>
      <c r="D18" s="1044">
        <f>'1.Dati'!F18</f>
        <v>27.27</v>
      </c>
      <c r="E18" s="1053">
        <v>1200</v>
      </c>
      <c r="F18" s="1053"/>
      <c r="G18" s="1053">
        <v>1</v>
      </c>
      <c r="H18" s="1053">
        <v>0.3</v>
      </c>
      <c r="I18" s="537">
        <f t="shared" si="0"/>
        <v>2.7269999999999999</v>
      </c>
      <c r="J18" s="1110"/>
      <c r="K18" s="1038"/>
      <c r="W18" s="9"/>
      <c r="X18" s="543"/>
      <c r="Y18" s="543"/>
      <c r="Z18" s="9"/>
    </row>
    <row r="19" spans="1:26" ht="15" customHeight="1">
      <c r="A19" s="1485"/>
      <c r="B19" s="1799" t="s">
        <v>810</v>
      </c>
      <c r="C19" s="1034" t="s">
        <v>9</v>
      </c>
      <c r="D19" s="1044">
        <f>'1.Dati'!F9</f>
        <v>40.014000000000003</v>
      </c>
      <c r="E19" s="1053">
        <v>1200</v>
      </c>
      <c r="F19" s="1053"/>
      <c r="G19" s="1053">
        <v>1</v>
      </c>
      <c r="H19" s="1053">
        <v>0.3</v>
      </c>
      <c r="I19" s="537">
        <f t="shared" si="0"/>
        <v>4.0014000000000003</v>
      </c>
      <c r="J19" s="1110"/>
      <c r="K19" s="1038"/>
      <c r="W19" s="9"/>
      <c r="X19" s="9"/>
      <c r="Y19" s="9"/>
      <c r="Z19" s="9"/>
    </row>
    <row r="20" spans="1:26" ht="15" customHeight="1">
      <c r="A20" s="1485"/>
      <c r="B20" s="1800"/>
      <c r="C20" s="1031" t="s">
        <v>804</v>
      </c>
      <c r="D20" s="1044">
        <f>'1.Dati'!F10</f>
        <v>101.41200000000001</v>
      </c>
      <c r="E20" s="1053">
        <v>1200</v>
      </c>
      <c r="F20" s="1053"/>
      <c r="G20" s="1053">
        <v>1</v>
      </c>
      <c r="H20" s="1053">
        <v>0.3</v>
      </c>
      <c r="I20" s="537">
        <f t="shared" si="0"/>
        <v>10.1412</v>
      </c>
      <c r="J20" s="1110"/>
      <c r="K20" s="1038"/>
      <c r="W20" s="9"/>
      <c r="X20" s="9"/>
      <c r="Y20" s="9"/>
      <c r="Z20" s="9"/>
    </row>
    <row r="21" spans="1:26">
      <c r="A21" s="1485"/>
      <c r="B21" s="1800"/>
      <c r="C21" s="1031" t="s">
        <v>586</v>
      </c>
      <c r="D21" s="1044">
        <f>'1.Dati'!F11</f>
        <v>16.13898</v>
      </c>
      <c r="E21" s="1053">
        <v>1200</v>
      </c>
      <c r="F21" s="1053"/>
      <c r="G21" s="1053">
        <v>1</v>
      </c>
      <c r="H21" s="1053">
        <v>0.3</v>
      </c>
      <c r="I21" s="537">
        <f t="shared" si="0"/>
        <v>1.6138980000000001</v>
      </c>
      <c r="J21" s="1110"/>
      <c r="K21" s="1038"/>
      <c r="W21" s="9"/>
      <c r="X21" s="9"/>
      <c r="Y21" s="9"/>
      <c r="Z21" s="9"/>
    </row>
    <row r="22" spans="1:26">
      <c r="A22" s="1485"/>
      <c r="B22" s="1800"/>
      <c r="C22" s="1031" t="s">
        <v>587</v>
      </c>
      <c r="D22" s="1044">
        <f>'1.Dati'!F12</f>
        <v>14.904</v>
      </c>
      <c r="E22" s="1053">
        <v>1200</v>
      </c>
      <c r="F22" s="1053"/>
      <c r="G22" s="1053">
        <v>1</v>
      </c>
      <c r="H22" s="1053">
        <v>0.3</v>
      </c>
      <c r="I22" s="537">
        <f t="shared" si="0"/>
        <v>1.4903999999999999</v>
      </c>
      <c r="J22" s="1110"/>
      <c r="K22" s="1038"/>
      <c r="W22" s="9"/>
      <c r="X22" s="9"/>
      <c r="Y22" s="9"/>
      <c r="Z22" s="9"/>
    </row>
    <row r="23" spans="1:26">
      <c r="A23" s="1485"/>
      <c r="B23" s="1800"/>
      <c r="C23" s="1031" t="s">
        <v>803</v>
      </c>
      <c r="D23" s="1044">
        <f>'1.Dati'!F13</f>
        <v>6.4260000000000002</v>
      </c>
      <c r="E23" s="1053">
        <v>1200</v>
      </c>
      <c r="F23" s="1053"/>
      <c r="G23" s="130">
        <v>1</v>
      </c>
      <c r="H23" s="130">
        <v>0.3</v>
      </c>
      <c r="I23" s="537">
        <f t="shared" si="0"/>
        <v>0.64259999999999995</v>
      </c>
      <c r="J23" s="1110"/>
      <c r="K23" s="1038"/>
      <c r="W23" s="9"/>
      <c r="X23" s="9"/>
      <c r="Y23" s="9"/>
      <c r="Z23" s="9"/>
    </row>
    <row r="24" spans="1:26">
      <c r="A24" s="1485"/>
      <c r="B24" s="1800"/>
      <c r="C24" s="1031" t="s">
        <v>19</v>
      </c>
      <c r="D24" s="1044">
        <f>'1.Dati'!F14</f>
        <v>54.405000000000001</v>
      </c>
      <c r="E24" s="1053">
        <v>1200</v>
      </c>
      <c r="F24" s="1053"/>
      <c r="G24" s="130">
        <v>1</v>
      </c>
      <c r="H24" s="130">
        <v>0.3</v>
      </c>
      <c r="I24" s="537">
        <f t="shared" si="0"/>
        <v>5.4405000000000001</v>
      </c>
      <c r="J24" s="1110"/>
      <c r="K24" s="1038"/>
    </row>
    <row r="25" spans="1:26" ht="15" customHeight="1">
      <c r="A25" s="1485"/>
      <c r="B25" s="1800"/>
      <c r="C25" s="1031" t="s">
        <v>20</v>
      </c>
      <c r="D25" s="1044">
        <f>'1.Dati'!F15</f>
        <v>36.828000000000003</v>
      </c>
      <c r="E25" s="1053">
        <v>1200</v>
      </c>
      <c r="F25" s="1053"/>
      <c r="G25" s="130">
        <v>1</v>
      </c>
      <c r="H25" s="130">
        <v>0.3</v>
      </c>
      <c r="I25" s="537">
        <f t="shared" si="0"/>
        <v>3.6828000000000003</v>
      </c>
      <c r="J25" s="1110"/>
      <c r="K25" s="1038"/>
    </row>
    <row r="26" spans="1:26">
      <c r="A26" s="1485"/>
      <c r="B26" s="1800"/>
      <c r="C26" s="1031" t="s">
        <v>802</v>
      </c>
      <c r="D26" s="1044">
        <f>'1.Dati'!F16</f>
        <v>42.052500000000009</v>
      </c>
      <c r="E26" s="1053">
        <v>1200</v>
      </c>
      <c r="F26" s="1053"/>
      <c r="G26" s="130">
        <v>1</v>
      </c>
      <c r="H26" s="130">
        <v>0.3</v>
      </c>
      <c r="I26" s="537">
        <f t="shared" si="0"/>
        <v>4.2052500000000013</v>
      </c>
      <c r="J26" s="1110"/>
      <c r="K26" s="1038"/>
    </row>
    <row r="27" spans="1:26">
      <c r="A27" s="1485"/>
      <c r="B27" s="1800"/>
      <c r="C27" s="1031" t="s">
        <v>22</v>
      </c>
      <c r="D27" s="1044">
        <f>'1.Dati'!F17</f>
        <v>12.7818</v>
      </c>
      <c r="E27" s="1053">
        <v>1200</v>
      </c>
      <c r="F27" s="1053"/>
      <c r="G27" s="130">
        <v>1</v>
      </c>
      <c r="H27" s="130">
        <v>0.3</v>
      </c>
      <c r="I27" s="537">
        <f t="shared" si="0"/>
        <v>1.2781799999999999</v>
      </c>
      <c r="J27" s="1110"/>
      <c r="K27" s="1038"/>
    </row>
    <row r="28" spans="1:26">
      <c r="A28" s="1486"/>
      <c r="B28" s="1801"/>
      <c r="C28" s="1031" t="s">
        <v>588</v>
      </c>
      <c r="D28" s="1044">
        <f>'1.Dati'!F18</f>
        <v>27.27</v>
      </c>
      <c r="E28" s="1053">
        <v>1200</v>
      </c>
      <c r="F28" s="1053"/>
      <c r="G28" s="130">
        <v>1</v>
      </c>
      <c r="H28" s="130">
        <v>0.3</v>
      </c>
      <c r="I28" s="537">
        <f t="shared" si="0"/>
        <v>2.7269999999999999</v>
      </c>
      <c r="J28" s="1110"/>
      <c r="K28" s="1038"/>
    </row>
    <row r="29" spans="1:26">
      <c r="A29" s="1369" t="s">
        <v>835</v>
      </c>
      <c r="B29" s="1796" t="s">
        <v>809</v>
      </c>
      <c r="C29" s="1034" t="s">
        <v>9</v>
      </c>
      <c r="D29" s="1044">
        <f>'1.Dati'!F9</f>
        <v>40.014000000000003</v>
      </c>
      <c r="E29" s="1053">
        <v>1200</v>
      </c>
      <c r="F29" s="1053"/>
      <c r="G29" s="130">
        <v>1</v>
      </c>
      <c r="H29" s="130">
        <v>0.3</v>
      </c>
      <c r="I29" s="537">
        <f t="shared" si="0"/>
        <v>4.0014000000000003</v>
      </c>
      <c r="J29" s="1110"/>
      <c r="K29" s="1038"/>
    </row>
    <row r="30" spans="1:26">
      <c r="A30" s="1370"/>
      <c r="B30" s="1797"/>
      <c r="C30" s="1031" t="s">
        <v>804</v>
      </c>
      <c r="D30" s="1044">
        <f>'1.Dati'!F10</f>
        <v>101.41200000000001</v>
      </c>
      <c r="E30" s="1053">
        <v>1200</v>
      </c>
      <c r="F30" s="1053"/>
      <c r="G30" s="130">
        <v>1</v>
      </c>
      <c r="H30" s="130">
        <v>0.3</v>
      </c>
      <c r="I30" s="537">
        <f t="shared" si="0"/>
        <v>10.1412</v>
      </c>
      <c r="J30" s="1110"/>
      <c r="K30" s="1038"/>
    </row>
    <row r="31" spans="1:26">
      <c r="A31" s="1370"/>
      <c r="B31" s="1797"/>
      <c r="C31" s="1031" t="s">
        <v>586</v>
      </c>
      <c r="D31" s="1044">
        <f>'1.Dati'!F11</f>
        <v>16.13898</v>
      </c>
      <c r="E31" s="1053">
        <v>1200</v>
      </c>
      <c r="F31" s="1053"/>
      <c r="G31" s="130">
        <v>1</v>
      </c>
      <c r="H31" s="130">
        <v>0.3</v>
      </c>
      <c r="I31" s="537">
        <f t="shared" si="0"/>
        <v>1.6138980000000001</v>
      </c>
      <c r="J31" s="1110"/>
      <c r="K31" s="1038"/>
    </row>
    <row r="32" spans="1:26">
      <c r="A32" s="1370"/>
      <c r="B32" s="1797"/>
      <c r="C32" s="1031" t="s">
        <v>587</v>
      </c>
      <c r="D32" s="1044">
        <f>'1.Dati'!F12</f>
        <v>14.904</v>
      </c>
      <c r="E32" s="1053">
        <v>1200</v>
      </c>
      <c r="F32" s="1053"/>
      <c r="G32" s="130">
        <v>1</v>
      </c>
      <c r="H32" s="130">
        <v>0.3</v>
      </c>
      <c r="I32" s="537">
        <f t="shared" si="0"/>
        <v>1.4903999999999999</v>
      </c>
      <c r="J32" s="1110"/>
      <c r="K32" s="1038"/>
    </row>
    <row r="33" spans="1:19">
      <c r="A33" s="1370"/>
      <c r="B33" s="1797"/>
      <c r="C33" s="1031" t="s">
        <v>803</v>
      </c>
      <c r="D33" s="1044">
        <f>'1.Dati'!F13</f>
        <v>6.4260000000000002</v>
      </c>
      <c r="E33" s="1053">
        <v>1200</v>
      </c>
      <c r="F33" s="1053"/>
      <c r="G33" s="130">
        <v>1</v>
      </c>
      <c r="H33" s="130">
        <v>0.3</v>
      </c>
      <c r="I33" s="537">
        <f t="shared" ref="I33:I68" si="1">(D33*E33*G33*H33)/3600</f>
        <v>0.64259999999999995</v>
      </c>
      <c r="J33" s="1110"/>
      <c r="K33" s="1038"/>
    </row>
    <row r="34" spans="1:19">
      <c r="A34" s="1370"/>
      <c r="B34" s="1797"/>
      <c r="C34" s="1031" t="s">
        <v>19</v>
      </c>
      <c r="D34" s="1044">
        <f>'1.Dati'!F14</f>
        <v>54.405000000000001</v>
      </c>
      <c r="E34" s="1053">
        <v>1200</v>
      </c>
      <c r="F34" s="1053"/>
      <c r="G34" s="130">
        <v>1</v>
      </c>
      <c r="H34" s="130">
        <v>0.3</v>
      </c>
      <c r="I34" s="537">
        <f t="shared" si="1"/>
        <v>5.4405000000000001</v>
      </c>
      <c r="J34" s="1110"/>
      <c r="K34" s="1038"/>
    </row>
    <row r="35" spans="1:19">
      <c r="A35" s="1370"/>
      <c r="B35" s="1797"/>
      <c r="C35" s="1031" t="s">
        <v>20</v>
      </c>
      <c r="D35" s="1044">
        <f>'1.Dati'!F15</f>
        <v>36.828000000000003</v>
      </c>
      <c r="E35" s="1053">
        <v>1200</v>
      </c>
      <c r="F35" s="1053"/>
      <c r="G35" s="130">
        <v>1</v>
      </c>
      <c r="H35" s="130">
        <v>0.3</v>
      </c>
      <c r="I35" s="537">
        <f t="shared" si="1"/>
        <v>3.6828000000000003</v>
      </c>
      <c r="J35" s="1110"/>
      <c r="K35" s="1038"/>
    </row>
    <row r="36" spans="1:19">
      <c r="A36" s="1370"/>
      <c r="B36" s="1797"/>
      <c r="C36" s="1031" t="s">
        <v>802</v>
      </c>
      <c r="D36" s="1044">
        <f>'1.Dati'!F16</f>
        <v>42.052500000000009</v>
      </c>
      <c r="E36" s="1053">
        <v>1200</v>
      </c>
      <c r="F36" s="1053"/>
      <c r="G36" s="130">
        <v>1</v>
      </c>
      <c r="H36" s="130">
        <v>0.3</v>
      </c>
      <c r="I36" s="537">
        <f t="shared" si="1"/>
        <v>4.2052500000000013</v>
      </c>
      <c r="J36" s="1110"/>
      <c r="K36" s="1038"/>
    </row>
    <row r="37" spans="1:19">
      <c r="A37" s="1370"/>
      <c r="B37" s="1797"/>
      <c r="C37" s="1031" t="s">
        <v>22</v>
      </c>
      <c r="D37" s="1044">
        <f>'1.Dati'!F17</f>
        <v>12.7818</v>
      </c>
      <c r="E37" s="1053">
        <v>1200</v>
      </c>
      <c r="F37" s="1053"/>
      <c r="G37" s="130">
        <v>1</v>
      </c>
      <c r="H37" s="130">
        <v>0.3</v>
      </c>
      <c r="I37" s="537">
        <f t="shared" si="1"/>
        <v>1.2781799999999999</v>
      </c>
      <c r="J37" s="1110"/>
      <c r="K37" s="1038"/>
    </row>
    <row r="38" spans="1:19">
      <c r="A38" s="1370"/>
      <c r="B38" s="1798"/>
      <c r="C38" s="1031" t="s">
        <v>588</v>
      </c>
      <c r="D38" s="1044">
        <f>'1.Dati'!F18</f>
        <v>27.27</v>
      </c>
      <c r="E38" s="1053">
        <v>1200</v>
      </c>
      <c r="F38" s="1053"/>
      <c r="G38" s="130">
        <v>1</v>
      </c>
      <c r="H38" s="130">
        <v>0.3</v>
      </c>
      <c r="I38" s="537">
        <f t="shared" si="1"/>
        <v>2.7269999999999999</v>
      </c>
      <c r="J38" s="1110"/>
      <c r="K38" s="1038"/>
    </row>
    <row r="39" spans="1:19">
      <c r="A39" s="1370"/>
      <c r="B39" s="1799" t="s">
        <v>810</v>
      </c>
      <c r="C39" s="1034" t="s">
        <v>9</v>
      </c>
      <c r="D39" s="569">
        <f>'1.Dati'!F9</f>
        <v>40.014000000000003</v>
      </c>
      <c r="E39" s="1053">
        <v>1200</v>
      </c>
      <c r="F39" s="1053"/>
      <c r="G39" s="130">
        <v>1</v>
      </c>
      <c r="H39" s="130">
        <v>0.3</v>
      </c>
      <c r="I39" s="537">
        <f t="shared" si="1"/>
        <v>4.0014000000000003</v>
      </c>
      <c r="J39" s="1110"/>
      <c r="K39" s="1038"/>
    </row>
    <row r="40" spans="1:19">
      <c r="A40" s="1370"/>
      <c r="B40" s="1800"/>
      <c r="C40" s="1031" t="s">
        <v>804</v>
      </c>
      <c r="D40" s="569">
        <f>'1.Dati'!F10</f>
        <v>101.41200000000001</v>
      </c>
      <c r="E40" s="1053">
        <v>1200</v>
      </c>
      <c r="F40" s="1053"/>
      <c r="G40" s="130">
        <v>1</v>
      </c>
      <c r="H40" s="130">
        <v>0.3</v>
      </c>
      <c r="I40" s="537">
        <f t="shared" si="1"/>
        <v>10.1412</v>
      </c>
      <c r="J40" s="1110"/>
      <c r="K40" s="1038"/>
    </row>
    <row r="41" spans="1:19" ht="15" customHeight="1">
      <c r="A41" s="1370"/>
      <c r="B41" s="1800"/>
      <c r="C41" s="1031" t="s">
        <v>586</v>
      </c>
      <c r="D41" s="569">
        <f>'1.Dati'!F11</f>
        <v>16.13898</v>
      </c>
      <c r="E41" s="1053">
        <v>1200</v>
      </c>
      <c r="F41" s="1053"/>
      <c r="G41" s="130">
        <v>1</v>
      </c>
      <c r="H41" s="130">
        <v>0.3</v>
      </c>
      <c r="I41" s="537">
        <f t="shared" si="1"/>
        <v>1.6138980000000001</v>
      </c>
      <c r="J41" s="1110"/>
      <c r="K41" s="1038"/>
    </row>
    <row r="42" spans="1:19" ht="15" customHeight="1">
      <c r="A42" s="1370"/>
      <c r="B42" s="1800"/>
      <c r="C42" s="1031" t="s">
        <v>587</v>
      </c>
      <c r="D42" s="569">
        <f>'1.Dati'!F12</f>
        <v>14.904</v>
      </c>
      <c r="E42" s="1053">
        <v>1200</v>
      </c>
      <c r="F42" s="1053"/>
      <c r="G42" s="130">
        <v>1</v>
      </c>
      <c r="H42" s="130">
        <v>0.3</v>
      </c>
      <c r="I42" s="537">
        <f t="shared" si="1"/>
        <v>1.4903999999999999</v>
      </c>
      <c r="J42" s="1110"/>
      <c r="K42" s="1038"/>
    </row>
    <row r="43" spans="1:19" ht="15" customHeight="1">
      <c r="A43" s="1370"/>
      <c r="B43" s="1800"/>
      <c r="C43" s="1031" t="s">
        <v>803</v>
      </c>
      <c r="D43" s="569">
        <f>'1.Dati'!F13</f>
        <v>6.4260000000000002</v>
      </c>
      <c r="E43" s="1053">
        <v>1200</v>
      </c>
      <c r="F43" s="1053"/>
      <c r="G43" s="130">
        <v>1</v>
      </c>
      <c r="H43" s="130">
        <v>0.3</v>
      </c>
      <c r="I43" s="537">
        <f t="shared" si="1"/>
        <v>0.64259999999999995</v>
      </c>
      <c r="J43" s="1110"/>
      <c r="K43" s="1038"/>
    </row>
    <row r="44" spans="1:19" s="258" customFormat="1" ht="15.5" customHeight="1">
      <c r="A44" s="1370"/>
      <c r="B44" s="1800"/>
      <c r="C44" s="1031" t="s">
        <v>19</v>
      </c>
      <c r="D44" s="569">
        <f>'1.Dati'!F14</f>
        <v>54.405000000000001</v>
      </c>
      <c r="E44" s="1053">
        <v>1200</v>
      </c>
      <c r="F44" s="1053"/>
      <c r="G44" s="130">
        <v>1</v>
      </c>
      <c r="H44" s="130">
        <v>0.3</v>
      </c>
      <c r="I44" s="537">
        <f t="shared" si="1"/>
        <v>5.4405000000000001</v>
      </c>
      <c r="J44" s="1110"/>
      <c r="K44" s="1038"/>
      <c r="S44" s="133"/>
    </row>
    <row r="45" spans="1:19" ht="15" customHeight="1">
      <c r="A45" s="1370"/>
      <c r="B45" s="1800"/>
      <c r="C45" s="1031" t="s">
        <v>20</v>
      </c>
      <c r="D45" s="569">
        <f>'1.Dati'!F15</f>
        <v>36.828000000000003</v>
      </c>
      <c r="E45" s="1053">
        <v>1200</v>
      </c>
      <c r="F45" s="1053"/>
      <c r="G45" s="130">
        <v>1</v>
      </c>
      <c r="H45" s="130">
        <v>0.3</v>
      </c>
      <c r="I45" s="537">
        <f t="shared" si="1"/>
        <v>3.6828000000000003</v>
      </c>
      <c r="J45" s="1110"/>
      <c r="K45" s="1038"/>
    </row>
    <row r="46" spans="1:19">
      <c r="A46" s="1370"/>
      <c r="B46" s="1800"/>
      <c r="C46" s="1031" t="s">
        <v>802</v>
      </c>
      <c r="D46" s="569">
        <f>'1.Dati'!F16</f>
        <v>42.052500000000009</v>
      </c>
      <c r="E46" s="1053">
        <v>1200</v>
      </c>
      <c r="F46" s="1053"/>
      <c r="G46" s="130">
        <v>1</v>
      </c>
      <c r="H46" s="130">
        <v>0.3</v>
      </c>
      <c r="I46" s="537">
        <f t="shared" si="1"/>
        <v>4.2052500000000013</v>
      </c>
      <c r="J46" s="1110"/>
      <c r="K46" s="1038"/>
    </row>
    <row r="47" spans="1:19">
      <c r="A47" s="1370"/>
      <c r="B47" s="1800"/>
      <c r="C47" s="1031" t="s">
        <v>22</v>
      </c>
      <c r="D47" s="569">
        <f>'1.Dati'!F17</f>
        <v>12.7818</v>
      </c>
      <c r="E47" s="1053">
        <v>1200</v>
      </c>
      <c r="F47" s="1053"/>
      <c r="G47" s="130">
        <v>1</v>
      </c>
      <c r="H47" s="130">
        <v>0.3</v>
      </c>
      <c r="I47" s="537">
        <f t="shared" si="1"/>
        <v>1.2781799999999999</v>
      </c>
      <c r="J47" s="1110"/>
      <c r="K47" s="1038"/>
    </row>
    <row r="48" spans="1:19">
      <c r="A48" s="1371"/>
      <c r="B48" s="1801"/>
      <c r="C48" s="1031" t="s">
        <v>588</v>
      </c>
      <c r="D48" s="569">
        <f>'1.Dati'!F18</f>
        <v>27.27</v>
      </c>
      <c r="E48" s="1053">
        <v>1200</v>
      </c>
      <c r="F48" s="1053"/>
      <c r="G48" s="130">
        <v>1</v>
      </c>
      <c r="H48" s="130">
        <v>0.3</v>
      </c>
      <c r="I48" s="537">
        <f t="shared" si="1"/>
        <v>2.7269999999999999</v>
      </c>
      <c r="J48" s="1110"/>
      <c r="K48" s="1038"/>
    </row>
    <row r="49" spans="1:11">
      <c r="A49" s="1377" t="s">
        <v>857</v>
      </c>
      <c r="B49" s="1802" t="s">
        <v>809</v>
      </c>
      <c r="C49" s="1034" t="s">
        <v>9</v>
      </c>
      <c r="D49" s="569">
        <f>'1.Dati'!F9</f>
        <v>40.014000000000003</v>
      </c>
      <c r="E49" s="1053">
        <v>1200</v>
      </c>
      <c r="F49" s="1053"/>
      <c r="G49" s="130">
        <v>1</v>
      </c>
      <c r="H49" s="130">
        <v>0.3</v>
      </c>
      <c r="I49" s="537">
        <f t="shared" si="1"/>
        <v>4.0014000000000003</v>
      </c>
      <c r="J49" s="1110"/>
      <c r="K49" s="1038"/>
    </row>
    <row r="50" spans="1:11">
      <c r="A50" s="1377"/>
      <c r="B50" s="1802"/>
      <c r="C50" s="1031" t="s">
        <v>804</v>
      </c>
      <c r="D50" s="569">
        <f>'1.Dati'!F10</f>
        <v>101.41200000000001</v>
      </c>
      <c r="E50" s="1053">
        <v>1200</v>
      </c>
      <c r="F50" s="1053"/>
      <c r="G50" s="130">
        <v>1</v>
      </c>
      <c r="H50" s="130">
        <v>0.3</v>
      </c>
      <c r="I50" s="537">
        <f t="shared" si="1"/>
        <v>10.1412</v>
      </c>
      <c r="J50" s="1110"/>
      <c r="K50" s="1038"/>
    </row>
    <row r="51" spans="1:11" ht="15" customHeight="1">
      <c r="A51" s="1377"/>
      <c r="B51" s="1802"/>
      <c r="C51" s="1031" t="s">
        <v>586</v>
      </c>
      <c r="D51" s="569">
        <f>'1.Dati'!F11</f>
        <v>16.13898</v>
      </c>
      <c r="E51" s="1053">
        <v>1200</v>
      </c>
      <c r="F51" s="1053"/>
      <c r="G51" s="130">
        <v>1</v>
      </c>
      <c r="H51" s="130">
        <v>0.3</v>
      </c>
      <c r="I51" s="537">
        <f t="shared" si="1"/>
        <v>1.6138980000000001</v>
      </c>
      <c r="J51" s="1110"/>
      <c r="K51" s="1038"/>
    </row>
    <row r="52" spans="1:11">
      <c r="A52" s="1377"/>
      <c r="B52" s="1802"/>
      <c r="C52" s="1031" t="s">
        <v>587</v>
      </c>
      <c r="D52" s="569">
        <f>'1.Dati'!F12</f>
        <v>14.904</v>
      </c>
      <c r="E52" s="1053">
        <v>1200</v>
      </c>
      <c r="F52" s="1053"/>
      <c r="G52" s="130">
        <v>1</v>
      </c>
      <c r="H52" s="130">
        <v>0.3</v>
      </c>
      <c r="I52" s="537">
        <f t="shared" si="1"/>
        <v>1.4903999999999999</v>
      </c>
      <c r="J52" s="1110"/>
      <c r="K52" s="1038"/>
    </row>
    <row r="53" spans="1:11">
      <c r="A53" s="1377"/>
      <c r="B53" s="1802"/>
      <c r="C53" s="1031" t="s">
        <v>803</v>
      </c>
      <c r="D53" s="569">
        <f>'1.Dati'!F13</f>
        <v>6.4260000000000002</v>
      </c>
      <c r="E53" s="1053">
        <v>1200</v>
      </c>
      <c r="F53" s="1053"/>
      <c r="G53" s="130">
        <v>1</v>
      </c>
      <c r="H53" s="130">
        <v>0.3</v>
      </c>
      <c r="I53" s="537">
        <f t="shared" si="1"/>
        <v>0.64259999999999995</v>
      </c>
      <c r="J53" s="1110"/>
      <c r="K53" s="1038"/>
    </row>
    <row r="54" spans="1:11">
      <c r="A54" s="1377"/>
      <c r="B54" s="1802"/>
      <c r="C54" s="1031" t="s">
        <v>19</v>
      </c>
      <c r="D54" s="569">
        <f>'1.Dati'!F14</f>
        <v>54.405000000000001</v>
      </c>
      <c r="E54" s="1053">
        <v>1200</v>
      </c>
      <c r="F54" s="1053"/>
      <c r="G54" s="130">
        <v>1</v>
      </c>
      <c r="H54" s="130">
        <v>0.3</v>
      </c>
      <c r="I54" s="537">
        <f t="shared" si="1"/>
        <v>5.4405000000000001</v>
      </c>
      <c r="J54" s="1110"/>
      <c r="K54" s="1038"/>
    </row>
    <row r="55" spans="1:11">
      <c r="A55" s="1377"/>
      <c r="B55" s="1802"/>
      <c r="C55" s="1031" t="s">
        <v>20</v>
      </c>
      <c r="D55" s="569">
        <f>'1.Dati'!F15</f>
        <v>36.828000000000003</v>
      </c>
      <c r="E55" s="1053">
        <v>1200</v>
      </c>
      <c r="F55" s="1053"/>
      <c r="G55" s="130">
        <v>1</v>
      </c>
      <c r="H55" s="130">
        <v>0.3</v>
      </c>
      <c r="I55" s="537">
        <f t="shared" si="1"/>
        <v>3.6828000000000003</v>
      </c>
      <c r="J55" s="1110"/>
      <c r="K55" s="1038"/>
    </row>
    <row r="56" spans="1:11">
      <c r="A56" s="1377"/>
      <c r="B56" s="1802"/>
      <c r="C56" s="1031" t="s">
        <v>802</v>
      </c>
      <c r="D56" s="569">
        <f>'1.Dati'!F16</f>
        <v>42.052500000000009</v>
      </c>
      <c r="E56" s="1053">
        <v>1200</v>
      </c>
      <c r="F56" s="1053"/>
      <c r="G56" s="130">
        <v>1</v>
      </c>
      <c r="H56" s="130">
        <v>0.3</v>
      </c>
      <c r="I56" s="537">
        <f t="shared" si="1"/>
        <v>4.2052500000000013</v>
      </c>
      <c r="J56" s="1110"/>
      <c r="K56" s="1038"/>
    </row>
    <row r="57" spans="1:11">
      <c r="A57" s="1377"/>
      <c r="B57" s="1802"/>
      <c r="C57" s="1031" t="s">
        <v>22</v>
      </c>
      <c r="D57" s="569">
        <f>'1.Dati'!F17</f>
        <v>12.7818</v>
      </c>
      <c r="E57" s="1053">
        <v>1200</v>
      </c>
      <c r="F57" s="1053"/>
      <c r="G57" s="130">
        <v>1</v>
      </c>
      <c r="H57" s="130">
        <v>0.3</v>
      </c>
      <c r="I57" s="537">
        <f t="shared" si="1"/>
        <v>1.2781799999999999</v>
      </c>
      <c r="J57" s="1110"/>
      <c r="K57" s="1038"/>
    </row>
    <row r="58" spans="1:11">
      <c r="A58" s="1377"/>
      <c r="B58" s="1802"/>
      <c r="C58" s="1031" t="s">
        <v>588</v>
      </c>
      <c r="D58" s="569">
        <f>'1.Dati'!F18</f>
        <v>27.27</v>
      </c>
      <c r="E58" s="1053">
        <v>1200</v>
      </c>
      <c r="F58" s="1053"/>
      <c r="G58" s="130">
        <v>1</v>
      </c>
      <c r="H58" s="130">
        <v>0.3</v>
      </c>
      <c r="I58" s="537">
        <f t="shared" si="1"/>
        <v>2.7269999999999999</v>
      </c>
      <c r="J58" s="1110"/>
      <c r="K58" s="1038"/>
    </row>
    <row r="59" spans="1:11">
      <c r="A59" s="1377"/>
      <c r="B59" s="1803" t="s">
        <v>810</v>
      </c>
      <c r="C59" s="1034" t="s">
        <v>9</v>
      </c>
      <c r="D59" s="569">
        <f>'1.Dati'!F9</f>
        <v>40.014000000000003</v>
      </c>
      <c r="E59" s="1053">
        <v>1200</v>
      </c>
      <c r="F59" s="1053"/>
      <c r="G59" s="130">
        <v>1</v>
      </c>
      <c r="H59" s="130">
        <v>0.3</v>
      </c>
      <c r="I59" s="537">
        <f t="shared" si="1"/>
        <v>4.0014000000000003</v>
      </c>
      <c r="J59" s="1110"/>
      <c r="K59" s="1038"/>
    </row>
    <row r="60" spans="1:11">
      <c r="A60" s="1377"/>
      <c r="B60" s="1803"/>
      <c r="C60" s="1031" t="s">
        <v>804</v>
      </c>
      <c r="D60" s="569">
        <f>'1.Dati'!F10</f>
        <v>101.41200000000001</v>
      </c>
      <c r="E60" s="1053">
        <v>1200</v>
      </c>
      <c r="F60" s="1053"/>
      <c r="G60" s="130">
        <v>1</v>
      </c>
      <c r="H60" s="130">
        <v>0.3</v>
      </c>
      <c r="I60" s="537">
        <f t="shared" si="1"/>
        <v>10.1412</v>
      </c>
      <c r="J60" s="1110"/>
      <c r="K60" s="1038"/>
    </row>
    <row r="61" spans="1:11">
      <c r="A61" s="1377"/>
      <c r="B61" s="1803"/>
      <c r="C61" s="1031" t="s">
        <v>586</v>
      </c>
      <c r="D61" s="569">
        <f>'1.Dati'!F11</f>
        <v>16.13898</v>
      </c>
      <c r="E61" s="1053">
        <v>1200</v>
      </c>
      <c r="F61" s="1053"/>
      <c r="G61" s="130">
        <v>1</v>
      </c>
      <c r="H61" s="130">
        <v>0.3</v>
      </c>
      <c r="I61" s="537">
        <f t="shared" si="1"/>
        <v>1.6138980000000001</v>
      </c>
      <c r="J61" s="1110"/>
      <c r="K61" s="1038"/>
    </row>
    <row r="62" spans="1:11">
      <c r="A62" s="1377"/>
      <c r="B62" s="1803"/>
      <c r="C62" s="1031" t="s">
        <v>587</v>
      </c>
      <c r="D62" s="569">
        <f>'1.Dati'!F12</f>
        <v>14.904</v>
      </c>
      <c r="E62" s="1053">
        <v>1200</v>
      </c>
      <c r="F62" s="1053"/>
      <c r="G62" s="130">
        <v>1</v>
      </c>
      <c r="H62" s="130">
        <v>0.3</v>
      </c>
      <c r="I62" s="537">
        <f t="shared" si="1"/>
        <v>1.4903999999999999</v>
      </c>
      <c r="J62" s="1110"/>
      <c r="K62" s="1038"/>
    </row>
    <row r="63" spans="1:11">
      <c r="A63" s="1377"/>
      <c r="B63" s="1803"/>
      <c r="C63" s="1031" t="s">
        <v>803</v>
      </c>
      <c r="D63" s="569">
        <f>'1.Dati'!F13</f>
        <v>6.4260000000000002</v>
      </c>
      <c r="E63" s="1053">
        <v>1200</v>
      </c>
      <c r="F63" s="1053"/>
      <c r="G63" s="130">
        <v>1</v>
      </c>
      <c r="H63" s="130">
        <v>0.3</v>
      </c>
      <c r="I63" s="537">
        <f t="shared" si="1"/>
        <v>0.64259999999999995</v>
      </c>
      <c r="J63" s="1110"/>
      <c r="K63" s="1038"/>
    </row>
    <row r="64" spans="1:11">
      <c r="A64" s="1377"/>
      <c r="B64" s="1803"/>
      <c r="C64" s="1031" t="s">
        <v>19</v>
      </c>
      <c r="D64" s="569">
        <f>'1.Dati'!F14</f>
        <v>54.405000000000001</v>
      </c>
      <c r="E64" s="1053">
        <v>1200</v>
      </c>
      <c r="F64" s="1053"/>
      <c r="G64" s="130">
        <v>1</v>
      </c>
      <c r="H64" s="130">
        <v>0.3</v>
      </c>
      <c r="I64" s="537">
        <f t="shared" si="1"/>
        <v>5.4405000000000001</v>
      </c>
      <c r="J64" s="1110"/>
      <c r="K64" s="1038"/>
    </row>
    <row r="65" spans="1:16">
      <c r="A65" s="1377"/>
      <c r="B65" s="1803"/>
      <c r="C65" s="1031" t="s">
        <v>20</v>
      </c>
      <c r="D65" s="569">
        <f>'1.Dati'!F15</f>
        <v>36.828000000000003</v>
      </c>
      <c r="E65" s="1053">
        <v>1200</v>
      </c>
      <c r="F65" s="1053"/>
      <c r="G65" s="130">
        <v>1</v>
      </c>
      <c r="H65" s="130">
        <v>0.3</v>
      </c>
      <c r="I65" s="537">
        <f t="shared" si="1"/>
        <v>3.6828000000000003</v>
      </c>
      <c r="J65" s="1110"/>
      <c r="K65" s="1038"/>
    </row>
    <row r="66" spans="1:16">
      <c r="A66" s="1377"/>
      <c r="B66" s="1803"/>
      <c r="C66" s="1031" t="s">
        <v>802</v>
      </c>
      <c r="D66" s="569">
        <f>'1.Dati'!F16</f>
        <v>42.052500000000009</v>
      </c>
      <c r="E66" s="1053">
        <v>1200</v>
      </c>
      <c r="F66" s="1053"/>
      <c r="G66" s="130">
        <v>1</v>
      </c>
      <c r="H66" s="130">
        <v>0.3</v>
      </c>
      <c r="I66" s="537">
        <f t="shared" si="1"/>
        <v>4.2052500000000013</v>
      </c>
      <c r="J66" s="1110"/>
      <c r="K66" s="1038"/>
    </row>
    <row r="67" spans="1:16">
      <c r="A67" s="1377"/>
      <c r="B67" s="1803"/>
      <c r="C67" s="1031" t="s">
        <v>22</v>
      </c>
      <c r="D67" s="569">
        <f>'1.Dati'!F17</f>
        <v>12.7818</v>
      </c>
      <c r="E67" s="1053">
        <v>1200</v>
      </c>
      <c r="F67" s="1053"/>
      <c r="G67" s="130">
        <v>1</v>
      </c>
      <c r="H67" s="130">
        <v>0.3</v>
      </c>
      <c r="I67" s="537">
        <f t="shared" si="1"/>
        <v>1.2781799999999999</v>
      </c>
      <c r="J67" s="1110"/>
      <c r="K67" s="1038"/>
    </row>
    <row r="68" spans="1:16">
      <c r="A68" s="1377"/>
      <c r="B68" s="1803"/>
      <c r="C68" s="1035" t="s">
        <v>588</v>
      </c>
      <c r="D68" s="569">
        <f>'1.Dati'!F18</f>
        <v>27.27</v>
      </c>
      <c r="E68" s="1053">
        <v>1200</v>
      </c>
      <c r="F68" s="1053"/>
      <c r="G68" s="130">
        <v>1</v>
      </c>
      <c r="H68" s="130">
        <v>0.3</v>
      </c>
      <c r="I68" s="537">
        <f t="shared" si="1"/>
        <v>2.7269999999999999</v>
      </c>
      <c r="J68" s="1110"/>
      <c r="K68" s="1039"/>
    </row>
    <row r="73" spans="1:16">
      <c r="A73" s="498"/>
      <c r="B73" s="499"/>
      <c r="C73" s="51"/>
    </row>
    <row r="74" spans="1:16">
      <c r="A74" s="511" t="s">
        <v>0</v>
      </c>
      <c r="B74" s="1414" t="s">
        <v>566</v>
      </c>
      <c r="C74" s="1403"/>
      <c r="D74" s="1403"/>
      <c r="E74" s="1404"/>
      <c r="F74" s="1508"/>
      <c r="G74" s="1402" t="s">
        <v>567</v>
      </c>
      <c r="H74" s="1403"/>
      <c r="I74" s="1403"/>
      <c r="J74" s="1403"/>
      <c r="K74" s="1404"/>
      <c r="L74" s="1352" t="s">
        <v>5</v>
      </c>
      <c r="M74" s="1353"/>
      <c r="N74" s="1352" t="s">
        <v>6</v>
      </c>
      <c r="O74" s="1353"/>
    </row>
    <row r="75" spans="1:16" ht="24">
      <c r="A75" s="47">
        <v>9</v>
      </c>
      <c r="B75" s="1511" t="s">
        <v>373</v>
      </c>
      <c r="C75" s="1512"/>
      <c r="D75" s="1512"/>
      <c r="E75" s="1513"/>
      <c r="F75" s="1509"/>
      <c r="G75" s="1414" t="s">
        <v>568</v>
      </c>
      <c r="H75" s="1415"/>
      <c r="I75" s="1415"/>
      <c r="J75" s="1415"/>
      <c r="K75" s="1416"/>
      <c r="L75" s="1391" t="s">
        <v>573</v>
      </c>
      <c r="M75" s="1392"/>
      <c r="N75" s="1391" t="str">
        <f>N2</f>
        <v>X</v>
      </c>
      <c r="O75" s="1392"/>
    </row>
    <row r="76" spans="1:16">
      <c r="A76" s="48" t="s">
        <v>63</v>
      </c>
      <c r="B76" s="1514"/>
      <c r="C76" s="1515"/>
      <c r="D76" s="1515"/>
      <c r="E76" s="1516"/>
      <c r="F76" s="1510"/>
      <c r="G76" s="1354" t="str">
        <f>'1.Dati'!G3:K3</f>
        <v>LAB. INTEGR. DI PROG. TECN. (TERMOFISICA DELL'EDIFICIO) a.a. 2019/2020</v>
      </c>
      <c r="H76" s="1355"/>
      <c r="I76" s="1355"/>
      <c r="J76" s="1355"/>
      <c r="K76" s="1356"/>
      <c r="L76" s="1357" t="s">
        <v>1028</v>
      </c>
      <c r="M76" s="1358"/>
      <c r="N76" s="1357" t="str">
        <f>N3</f>
        <v>Y</v>
      </c>
      <c r="O76" s="1358"/>
    </row>
    <row r="78" spans="1:16">
      <c r="D78" s="159"/>
    </row>
    <row r="79" spans="1:16" ht="15.75" customHeight="1">
      <c r="A79" s="1806" t="s">
        <v>386</v>
      </c>
      <c r="B79" s="1807"/>
      <c r="C79" s="1807"/>
      <c r="D79" s="1111"/>
      <c r="E79" s="1793" t="s">
        <v>214</v>
      </c>
      <c r="F79" s="1794"/>
      <c r="G79" s="1793" t="s">
        <v>215</v>
      </c>
      <c r="H79" s="1794"/>
      <c r="I79" s="1793" t="s">
        <v>204</v>
      </c>
      <c r="J79" s="1794"/>
      <c r="K79" s="1793" t="s">
        <v>205</v>
      </c>
      <c r="L79" s="1794"/>
      <c r="M79" s="1793" t="s">
        <v>206</v>
      </c>
      <c r="N79" s="1795"/>
      <c r="O79" s="1117" t="s">
        <v>580</v>
      </c>
      <c r="P79" s="1114"/>
    </row>
    <row r="80" spans="1:16" ht="16">
      <c r="A80" s="1808"/>
      <c r="B80" s="1809"/>
      <c r="C80" s="1809"/>
      <c r="D80" s="246"/>
      <c r="E80" s="205" t="s">
        <v>216</v>
      </c>
      <c r="F80" s="246" t="s">
        <v>387</v>
      </c>
      <c r="G80" s="205" t="s">
        <v>216</v>
      </c>
      <c r="H80" s="246" t="s">
        <v>387</v>
      </c>
      <c r="I80" s="205" t="s">
        <v>216</v>
      </c>
      <c r="J80" s="246" t="s">
        <v>387</v>
      </c>
      <c r="K80" s="205" t="s">
        <v>216</v>
      </c>
      <c r="L80" s="246" t="s">
        <v>387</v>
      </c>
      <c r="M80" s="205" t="s">
        <v>216</v>
      </c>
      <c r="N80" s="1112" t="s">
        <v>387</v>
      </c>
      <c r="O80" s="1066"/>
      <c r="P80" s="1115"/>
    </row>
    <row r="81" spans="1:18" ht="15" customHeight="1">
      <c r="A81" s="1810" t="str">
        <f>'8.Trasmissione'!A7:G7</f>
        <v>15 Novembre - 31 Marzo</v>
      </c>
      <c r="B81" s="1811"/>
      <c r="C81" s="1811"/>
      <c r="D81" s="94"/>
      <c r="E81" s="94">
        <f>15*$M$9</f>
        <v>360</v>
      </c>
      <c r="F81" s="94">
        <f>'8.Trasmissione'!X121</f>
        <v>15.5</v>
      </c>
      <c r="G81" s="94">
        <f>31*$M$9</f>
        <v>744</v>
      </c>
      <c r="H81" s="94">
        <f>'8.Trasmissione'!Y121</f>
        <v>11.7</v>
      </c>
      <c r="I81" s="94">
        <f>31*$M$9</f>
        <v>744</v>
      </c>
      <c r="J81" s="94">
        <f>'8.Trasmissione'!N121</f>
        <v>10.3</v>
      </c>
      <c r="K81" s="94">
        <f>29*$M$9</f>
        <v>696</v>
      </c>
      <c r="L81" s="94">
        <f>'8.Trasmissione'!O121</f>
        <v>10.8</v>
      </c>
      <c r="M81" s="94">
        <f>31*$M$9</f>
        <v>744</v>
      </c>
      <c r="N81" s="1113">
        <f>'8.Trasmissione'!P121</f>
        <v>12.8</v>
      </c>
      <c r="O81" s="1116"/>
      <c r="P81" s="294"/>
    </row>
    <row r="82" spans="1:18" ht="16">
      <c r="A82" s="1812"/>
      <c r="B82" s="1813"/>
      <c r="C82" s="1813"/>
      <c r="D82" s="1111"/>
      <c r="E82" s="1699" t="s">
        <v>420</v>
      </c>
      <c r="F82" s="1699"/>
      <c r="G82" s="1699" t="s">
        <v>420</v>
      </c>
      <c r="H82" s="1699"/>
      <c r="I82" s="1699" t="s">
        <v>420</v>
      </c>
      <c r="J82" s="1699"/>
      <c r="K82" s="1699" t="s">
        <v>420</v>
      </c>
      <c r="L82" s="1699"/>
      <c r="M82" s="1699" t="s">
        <v>420</v>
      </c>
      <c r="N82" s="1793"/>
      <c r="O82" s="1118"/>
      <c r="P82" s="1114"/>
      <c r="Q82" s="133"/>
      <c r="R82" s="133"/>
    </row>
    <row r="83" spans="1:18" ht="15" customHeight="1">
      <c r="A83" s="1484" t="s">
        <v>34</v>
      </c>
      <c r="B83" s="1796" t="s">
        <v>809</v>
      </c>
      <c r="C83" s="1034" t="s">
        <v>9</v>
      </c>
      <c r="D83" s="512"/>
      <c r="E83" s="512">
        <f t="shared" ref="E83:E114" si="2">$I9*E$81*($O$9-F$81)/1000</f>
        <v>6.4822680000000013</v>
      </c>
      <c r="F83" s="529"/>
      <c r="G83" s="512">
        <f t="shared" ref="G83:G114" si="3">$I9*G$81*($O$9-H$81)/1000</f>
        <v>24.709445280000004</v>
      </c>
      <c r="H83" s="529"/>
      <c r="I83" s="512">
        <f t="shared" ref="I83:I114" si="4">$I9*I$81*($O$9-J$81)/1000</f>
        <v>28.877303519999998</v>
      </c>
      <c r="J83" s="529"/>
      <c r="K83" s="512">
        <f t="shared" ref="K83:K114" si="5">$I9*K$81*($O$9-L$81)/1000</f>
        <v>25.62176448</v>
      </c>
      <c r="L83" s="529"/>
      <c r="M83" s="512">
        <f t="shared" ref="M83:M114" si="6">$I9*M$81*($O$9-N$81)/1000</f>
        <v>21.434699519999999</v>
      </c>
      <c r="N83" s="530"/>
      <c r="O83" s="138"/>
      <c r="P83" s="138"/>
    </row>
    <row r="84" spans="1:18">
      <c r="A84" s="1485"/>
      <c r="B84" s="1797"/>
      <c r="C84" s="1031" t="s">
        <v>804</v>
      </c>
      <c r="D84" s="512"/>
      <c r="E84" s="512">
        <f t="shared" si="2"/>
        <v>16.428743999999998</v>
      </c>
      <c r="F84" s="529"/>
      <c r="G84" s="512">
        <f t="shared" si="3"/>
        <v>62.623938240000001</v>
      </c>
      <c r="H84" s="529"/>
      <c r="I84" s="512">
        <f t="shared" si="4"/>
        <v>73.187012159999981</v>
      </c>
      <c r="J84" s="529"/>
      <c r="K84" s="512">
        <f t="shared" si="5"/>
        <v>64.936131840000002</v>
      </c>
      <c r="L84" s="529"/>
      <c r="M84" s="512">
        <f t="shared" si="6"/>
        <v>54.32438015999999</v>
      </c>
      <c r="N84" s="530"/>
      <c r="O84" s="138"/>
      <c r="P84" s="138"/>
    </row>
    <row r="85" spans="1:18">
      <c r="A85" s="1485"/>
      <c r="B85" s="1797"/>
      <c r="C85" s="1031" t="s">
        <v>586</v>
      </c>
      <c r="D85" s="512"/>
      <c r="E85" s="512">
        <f t="shared" si="2"/>
        <v>2.61451476</v>
      </c>
      <c r="F85" s="529"/>
      <c r="G85" s="512">
        <f t="shared" si="3"/>
        <v>9.9661429296000001</v>
      </c>
      <c r="H85" s="529"/>
      <c r="I85" s="512">
        <f t="shared" si="4"/>
        <v>11.6471790864</v>
      </c>
      <c r="J85" s="529"/>
      <c r="K85" s="512">
        <f t="shared" si="5"/>
        <v>10.334111673600001</v>
      </c>
      <c r="L85" s="529"/>
      <c r="M85" s="512">
        <f t="shared" si="6"/>
        <v>8.6453288063999985</v>
      </c>
      <c r="N85" s="530"/>
      <c r="O85" s="138"/>
      <c r="P85" s="138"/>
    </row>
    <row r="86" spans="1:18">
      <c r="A86" s="1485"/>
      <c r="B86" s="1797"/>
      <c r="C86" s="1031" t="s">
        <v>587</v>
      </c>
      <c r="D86" s="512"/>
      <c r="E86" s="512">
        <f t="shared" si="2"/>
        <v>2.4144479999999997</v>
      </c>
      <c r="F86" s="529"/>
      <c r="G86" s="512">
        <f t="shared" si="3"/>
        <v>9.203518080000002</v>
      </c>
      <c r="H86" s="529"/>
      <c r="I86" s="512">
        <f t="shared" si="4"/>
        <v>10.75591872</v>
      </c>
      <c r="J86" s="529"/>
      <c r="K86" s="512">
        <f t="shared" si="5"/>
        <v>9.5433292799999982</v>
      </c>
      <c r="L86" s="529"/>
      <c r="M86" s="512">
        <f t="shared" si="6"/>
        <v>7.9837747199999995</v>
      </c>
      <c r="N86" s="530"/>
      <c r="O86" s="138"/>
      <c r="P86" s="138"/>
    </row>
    <row r="87" spans="1:18">
      <c r="A87" s="1485"/>
      <c r="B87" s="1797"/>
      <c r="C87" s="1031" t="s">
        <v>803</v>
      </c>
      <c r="D87" s="512"/>
      <c r="E87" s="512">
        <f t="shared" si="2"/>
        <v>1.041012</v>
      </c>
      <c r="F87" s="529"/>
      <c r="G87" s="512">
        <f t="shared" si="3"/>
        <v>3.9681835200000002</v>
      </c>
      <c r="H87" s="529"/>
      <c r="I87" s="512">
        <f t="shared" si="4"/>
        <v>4.6375156799999999</v>
      </c>
      <c r="J87" s="529"/>
      <c r="K87" s="512">
        <f t="shared" si="5"/>
        <v>4.1146963200000002</v>
      </c>
      <c r="L87" s="529"/>
      <c r="M87" s="512">
        <f t="shared" si="6"/>
        <v>3.4422796799999991</v>
      </c>
      <c r="N87" s="530"/>
      <c r="O87" s="138"/>
      <c r="P87" s="138"/>
    </row>
    <row r="88" spans="1:18">
      <c r="A88" s="1485"/>
      <c r="B88" s="1797"/>
      <c r="C88" s="1031" t="s">
        <v>19</v>
      </c>
      <c r="D88" s="512"/>
      <c r="E88" s="512">
        <f t="shared" si="2"/>
        <v>8.8136100000000006</v>
      </c>
      <c r="F88" s="529"/>
      <c r="G88" s="512">
        <f t="shared" si="3"/>
        <v>33.596175600000002</v>
      </c>
      <c r="H88" s="529"/>
      <c r="I88" s="512">
        <f t="shared" si="4"/>
        <v>39.263000399999996</v>
      </c>
      <c r="J88" s="529"/>
      <c r="K88" s="512">
        <f t="shared" si="5"/>
        <v>34.836609599999996</v>
      </c>
      <c r="L88" s="529"/>
      <c r="M88" s="512">
        <f t="shared" si="6"/>
        <v>29.143670399999994</v>
      </c>
      <c r="N88" s="530"/>
      <c r="O88" s="138"/>
      <c r="P88" s="138"/>
    </row>
    <row r="89" spans="1:18">
      <c r="A89" s="1485"/>
      <c r="B89" s="1797"/>
      <c r="C89" s="1031" t="s">
        <v>20</v>
      </c>
      <c r="D89" s="512"/>
      <c r="E89" s="512">
        <f t="shared" si="2"/>
        <v>5.9661360000000005</v>
      </c>
      <c r="F89" s="529"/>
      <c r="G89" s="512">
        <f t="shared" si="3"/>
        <v>22.742026560000003</v>
      </c>
      <c r="H89" s="529"/>
      <c r="I89" s="512">
        <f t="shared" si="4"/>
        <v>26.578031039999999</v>
      </c>
      <c r="J89" s="529"/>
      <c r="K89" s="512">
        <f t="shared" si="5"/>
        <v>23.581704960000003</v>
      </c>
      <c r="L89" s="529"/>
      <c r="M89" s="512">
        <f t="shared" si="6"/>
        <v>19.72802304</v>
      </c>
      <c r="N89" s="530"/>
      <c r="O89" s="138"/>
      <c r="P89" s="138"/>
    </row>
    <row r="90" spans="1:18">
      <c r="A90" s="1485"/>
      <c r="B90" s="1797"/>
      <c r="C90" s="1031" t="s">
        <v>802</v>
      </c>
      <c r="D90" s="512"/>
      <c r="E90" s="512">
        <f t="shared" si="2"/>
        <v>6.8125050000000025</v>
      </c>
      <c r="F90" s="529"/>
      <c r="G90" s="512">
        <f t="shared" si="3"/>
        <v>25.968259800000009</v>
      </c>
      <c r="H90" s="529"/>
      <c r="I90" s="512">
        <f t="shared" si="4"/>
        <v>30.348448200000007</v>
      </c>
      <c r="J90" s="529"/>
      <c r="K90" s="512">
        <f t="shared" si="5"/>
        <v>26.927056800000006</v>
      </c>
      <c r="L90" s="529"/>
      <c r="M90" s="512">
        <f t="shared" si="6"/>
        <v>22.526683200000008</v>
      </c>
      <c r="N90" s="530"/>
      <c r="O90" s="138"/>
      <c r="P90" s="138"/>
    </row>
    <row r="91" spans="1:18" ht="15" customHeight="1">
      <c r="A91" s="1485"/>
      <c r="B91" s="1797"/>
      <c r="C91" s="1031" t="s">
        <v>22</v>
      </c>
      <c r="D91" s="512"/>
      <c r="E91" s="512">
        <f t="shared" si="2"/>
        <v>2.0706515999999997</v>
      </c>
      <c r="F91" s="529"/>
      <c r="G91" s="512">
        <f t="shared" si="3"/>
        <v>7.8930171359999992</v>
      </c>
      <c r="H91" s="529"/>
      <c r="I91" s="512">
        <f t="shared" si="4"/>
        <v>9.2243694239999989</v>
      </c>
      <c r="J91" s="529"/>
      <c r="K91" s="512">
        <f t="shared" si="5"/>
        <v>8.1844421759999992</v>
      </c>
      <c r="L91" s="529"/>
      <c r="M91" s="512">
        <f t="shared" si="6"/>
        <v>6.8469546239999985</v>
      </c>
      <c r="N91" s="530"/>
      <c r="O91" s="138"/>
      <c r="P91" s="138"/>
    </row>
    <row r="92" spans="1:18">
      <c r="A92" s="1485"/>
      <c r="B92" s="1798"/>
      <c r="C92" s="1031" t="s">
        <v>588</v>
      </c>
      <c r="D92" s="512"/>
      <c r="E92" s="512">
        <f t="shared" si="2"/>
        <v>4.4177400000000002</v>
      </c>
      <c r="F92" s="529"/>
      <c r="G92" s="512">
        <f t="shared" si="3"/>
        <v>16.839770400000003</v>
      </c>
      <c r="H92" s="529"/>
      <c r="I92" s="512">
        <f t="shared" si="4"/>
        <v>19.680213599999998</v>
      </c>
      <c r="J92" s="529"/>
      <c r="K92" s="512">
        <f t="shared" si="5"/>
        <v>17.4615264</v>
      </c>
      <c r="L92" s="529"/>
      <c r="M92" s="512">
        <f t="shared" si="6"/>
        <v>14.607993599999999</v>
      </c>
      <c r="N92" s="530"/>
      <c r="O92" s="138"/>
      <c r="P92" s="138"/>
    </row>
    <row r="93" spans="1:18">
      <c r="A93" s="1485"/>
      <c r="B93" s="1799" t="s">
        <v>810</v>
      </c>
      <c r="C93" s="1034" t="s">
        <v>9</v>
      </c>
      <c r="D93" s="512"/>
      <c r="E93" s="512">
        <f t="shared" si="2"/>
        <v>6.4822680000000013</v>
      </c>
      <c r="F93" s="529"/>
      <c r="G93" s="512">
        <f t="shared" si="3"/>
        <v>24.709445280000004</v>
      </c>
      <c r="H93" s="529"/>
      <c r="I93" s="512">
        <f t="shared" si="4"/>
        <v>28.877303519999998</v>
      </c>
      <c r="J93" s="529"/>
      <c r="K93" s="512">
        <f t="shared" si="5"/>
        <v>25.62176448</v>
      </c>
      <c r="L93" s="529"/>
      <c r="M93" s="512">
        <f t="shared" si="6"/>
        <v>21.434699519999999</v>
      </c>
      <c r="N93" s="530"/>
      <c r="O93" s="138"/>
      <c r="P93" s="138"/>
    </row>
    <row r="94" spans="1:18">
      <c r="A94" s="1485"/>
      <c r="B94" s="1800"/>
      <c r="C94" s="1031" t="s">
        <v>804</v>
      </c>
      <c r="D94" s="512"/>
      <c r="E94" s="512">
        <f t="shared" si="2"/>
        <v>16.428743999999998</v>
      </c>
      <c r="F94" s="529"/>
      <c r="G94" s="512">
        <f t="shared" si="3"/>
        <v>62.623938240000001</v>
      </c>
      <c r="H94" s="529"/>
      <c r="I94" s="512">
        <f t="shared" si="4"/>
        <v>73.187012159999981</v>
      </c>
      <c r="J94" s="529"/>
      <c r="K94" s="512">
        <f t="shared" si="5"/>
        <v>64.936131840000002</v>
      </c>
      <c r="L94" s="529"/>
      <c r="M94" s="512">
        <f t="shared" si="6"/>
        <v>54.32438015999999</v>
      </c>
      <c r="N94" s="530"/>
      <c r="O94" s="138"/>
      <c r="P94" s="138"/>
    </row>
    <row r="95" spans="1:18">
      <c r="A95" s="1485"/>
      <c r="B95" s="1800"/>
      <c r="C95" s="1031" t="s">
        <v>586</v>
      </c>
      <c r="D95" s="512"/>
      <c r="E95" s="512">
        <f t="shared" si="2"/>
        <v>2.61451476</v>
      </c>
      <c r="F95" s="529"/>
      <c r="G95" s="512">
        <f t="shared" si="3"/>
        <v>9.9661429296000001</v>
      </c>
      <c r="H95" s="529"/>
      <c r="I95" s="512">
        <f t="shared" si="4"/>
        <v>11.6471790864</v>
      </c>
      <c r="J95" s="529"/>
      <c r="K95" s="512">
        <f t="shared" si="5"/>
        <v>10.334111673600001</v>
      </c>
      <c r="L95" s="529"/>
      <c r="M95" s="512">
        <f t="shared" si="6"/>
        <v>8.6453288063999985</v>
      </c>
      <c r="N95" s="530"/>
      <c r="O95" s="138"/>
      <c r="P95" s="138"/>
    </row>
    <row r="96" spans="1:18">
      <c r="A96" s="1485"/>
      <c r="B96" s="1800"/>
      <c r="C96" s="1031" t="s">
        <v>587</v>
      </c>
      <c r="D96" s="1044"/>
      <c r="E96" s="512">
        <f t="shared" si="2"/>
        <v>2.4144479999999997</v>
      </c>
      <c r="F96" s="529"/>
      <c r="G96" s="512">
        <f t="shared" si="3"/>
        <v>9.203518080000002</v>
      </c>
      <c r="H96" s="529"/>
      <c r="I96" s="512">
        <f t="shared" si="4"/>
        <v>10.75591872</v>
      </c>
      <c r="J96" s="529"/>
      <c r="K96" s="512">
        <f t="shared" si="5"/>
        <v>9.5433292799999982</v>
      </c>
      <c r="L96" s="529"/>
      <c r="M96" s="512">
        <f t="shared" si="6"/>
        <v>7.9837747199999995</v>
      </c>
      <c r="N96" s="530"/>
      <c r="O96" s="138"/>
      <c r="P96" s="138"/>
    </row>
    <row r="97" spans="1:16">
      <c r="A97" s="1485"/>
      <c r="B97" s="1800"/>
      <c r="C97" s="1031" t="s">
        <v>803</v>
      </c>
      <c r="D97" s="492"/>
      <c r="E97" s="512">
        <f t="shared" si="2"/>
        <v>1.041012</v>
      </c>
      <c r="F97" s="1119"/>
      <c r="G97" s="512">
        <f t="shared" si="3"/>
        <v>3.9681835200000002</v>
      </c>
      <c r="H97" s="282"/>
      <c r="I97" s="512">
        <f t="shared" si="4"/>
        <v>4.6375156799999999</v>
      </c>
      <c r="J97" s="282"/>
      <c r="K97" s="512">
        <f t="shared" si="5"/>
        <v>4.1146963200000002</v>
      </c>
      <c r="L97" s="282"/>
      <c r="M97" s="512">
        <f t="shared" si="6"/>
        <v>3.4422796799999991</v>
      </c>
      <c r="N97" s="530"/>
      <c r="O97" s="138"/>
      <c r="P97" s="138"/>
    </row>
    <row r="98" spans="1:16">
      <c r="A98" s="1485"/>
      <c r="B98" s="1800"/>
      <c r="C98" s="1031" t="s">
        <v>19</v>
      </c>
      <c r="D98" s="130"/>
      <c r="E98" s="512">
        <f t="shared" si="2"/>
        <v>8.8136100000000006</v>
      </c>
      <c r="F98" s="1050"/>
      <c r="G98" s="512">
        <f t="shared" si="3"/>
        <v>33.596175600000002</v>
      </c>
      <c r="H98" s="282"/>
      <c r="I98" s="512">
        <f t="shared" si="4"/>
        <v>39.263000399999996</v>
      </c>
      <c r="J98" s="282"/>
      <c r="K98" s="512">
        <f t="shared" si="5"/>
        <v>34.836609599999996</v>
      </c>
      <c r="L98" s="282"/>
      <c r="M98" s="512">
        <f t="shared" si="6"/>
        <v>29.143670399999994</v>
      </c>
      <c r="N98" s="530"/>
      <c r="O98" s="138"/>
      <c r="P98" s="138"/>
    </row>
    <row r="99" spans="1:16" ht="15" customHeight="1">
      <c r="A99" s="1485"/>
      <c r="B99" s="1800"/>
      <c r="C99" s="1031" t="s">
        <v>20</v>
      </c>
      <c r="D99" s="1049"/>
      <c r="E99" s="512">
        <f t="shared" si="2"/>
        <v>5.9661360000000005</v>
      </c>
      <c r="F99" s="1050"/>
      <c r="G99" s="512">
        <f t="shared" si="3"/>
        <v>22.742026560000003</v>
      </c>
      <c r="H99" s="282"/>
      <c r="I99" s="512">
        <f t="shared" si="4"/>
        <v>26.578031039999999</v>
      </c>
      <c r="J99" s="282"/>
      <c r="K99" s="512">
        <f t="shared" si="5"/>
        <v>23.581704960000003</v>
      </c>
      <c r="L99" s="282"/>
      <c r="M99" s="512">
        <f t="shared" si="6"/>
        <v>19.72802304</v>
      </c>
      <c r="N99" s="530"/>
      <c r="O99" s="138"/>
      <c r="P99" s="138"/>
    </row>
    <row r="100" spans="1:16">
      <c r="A100" s="1485"/>
      <c r="B100" s="1800"/>
      <c r="C100" s="1031" t="s">
        <v>802</v>
      </c>
      <c r="D100" s="1049"/>
      <c r="E100" s="512">
        <f t="shared" si="2"/>
        <v>6.8125050000000025</v>
      </c>
      <c r="F100" s="1050"/>
      <c r="G100" s="512">
        <f t="shared" si="3"/>
        <v>25.968259800000009</v>
      </c>
      <c r="H100" s="282"/>
      <c r="I100" s="512">
        <f t="shared" si="4"/>
        <v>30.348448200000007</v>
      </c>
      <c r="J100" s="282"/>
      <c r="K100" s="512">
        <f t="shared" si="5"/>
        <v>26.927056800000006</v>
      </c>
      <c r="L100" s="282"/>
      <c r="M100" s="512">
        <f t="shared" si="6"/>
        <v>22.526683200000008</v>
      </c>
      <c r="N100" s="530"/>
      <c r="O100" s="138"/>
      <c r="P100" s="138"/>
    </row>
    <row r="101" spans="1:16">
      <c r="A101" s="1485"/>
      <c r="B101" s="1800"/>
      <c r="C101" s="1031" t="s">
        <v>22</v>
      </c>
      <c r="D101" s="130"/>
      <c r="E101" s="512">
        <f t="shared" si="2"/>
        <v>2.0706515999999997</v>
      </c>
      <c r="F101" s="1050"/>
      <c r="G101" s="512">
        <f t="shared" si="3"/>
        <v>7.8930171359999992</v>
      </c>
      <c r="H101" s="282"/>
      <c r="I101" s="512">
        <f t="shared" si="4"/>
        <v>9.2243694239999989</v>
      </c>
      <c r="J101" s="282"/>
      <c r="K101" s="512">
        <f t="shared" si="5"/>
        <v>8.1844421759999992</v>
      </c>
      <c r="L101" s="282"/>
      <c r="M101" s="512">
        <f t="shared" si="6"/>
        <v>6.8469546239999985</v>
      </c>
      <c r="N101" s="530"/>
      <c r="O101" s="138"/>
      <c r="P101" s="138"/>
    </row>
    <row r="102" spans="1:16">
      <c r="A102" s="1486"/>
      <c r="B102" s="1801"/>
      <c r="C102" s="1031" t="s">
        <v>588</v>
      </c>
      <c r="D102" s="130"/>
      <c r="E102" s="512">
        <f t="shared" si="2"/>
        <v>4.4177400000000002</v>
      </c>
      <c r="F102" s="1050"/>
      <c r="G102" s="512">
        <f t="shared" si="3"/>
        <v>16.839770400000003</v>
      </c>
      <c r="H102" s="282"/>
      <c r="I102" s="512">
        <f t="shared" si="4"/>
        <v>19.680213599999998</v>
      </c>
      <c r="J102" s="282"/>
      <c r="K102" s="512">
        <f t="shared" si="5"/>
        <v>17.4615264</v>
      </c>
      <c r="L102" s="282"/>
      <c r="M102" s="512">
        <f t="shared" si="6"/>
        <v>14.607993599999999</v>
      </c>
      <c r="N102" s="530"/>
      <c r="O102" s="138"/>
      <c r="P102" s="138"/>
    </row>
    <row r="103" spans="1:16">
      <c r="A103" s="1369" t="s">
        <v>835</v>
      </c>
      <c r="B103" s="1796" t="s">
        <v>809</v>
      </c>
      <c r="C103" s="1034" t="s">
        <v>9</v>
      </c>
      <c r="D103" s="130"/>
      <c r="E103" s="512">
        <f t="shared" si="2"/>
        <v>6.4822680000000013</v>
      </c>
      <c r="F103" s="1050"/>
      <c r="G103" s="512">
        <f t="shared" si="3"/>
        <v>24.709445280000004</v>
      </c>
      <c r="H103" s="282"/>
      <c r="I103" s="512">
        <f t="shared" si="4"/>
        <v>28.877303519999998</v>
      </c>
      <c r="J103" s="282"/>
      <c r="K103" s="512">
        <f t="shared" si="5"/>
        <v>25.62176448</v>
      </c>
      <c r="L103" s="282"/>
      <c r="M103" s="512">
        <f t="shared" si="6"/>
        <v>21.434699519999999</v>
      </c>
      <c r="N103" s="530"/>
      <c r="O103" s="138"/>
      <c r="P103" s="138"/>
    </row>
    <row r="104" spans="1:16">
      <c r="A104" s="1370"/>
      <c r="B104" s="1797"/>
      <c r="C104" s="1031" t="s">
        <v>804</v>
      </c>
      <c r="D104" s="130"/>
      <c r="E104" s="512">
        <f t="shared" si="2"/>
        <v>16.428743999999998</v>
      </c>
      <c r="F104" s="1050"/>
      <c r="G104" s="512">
        <f t="shared" si="3"/>
        <v>62.623938240000001</v>
      </c>
      <c r="H104" s="282"/>
      <c r="I104" s="512">
        <f t="shared" si="4"/>
        <v>73.187012159999981</v>
      </c>
      <c r="J104" s="282"/>
      <c r="K104" s="512">
        <f t="shared" si="5"/>
        <v>64.936131840000002</v>
      </c>
      <c r="L104" s="282"/>
      <c r="M104" s="512">
        <f t="shared" si="6"/>
        <v>54.32438015999999</v>
      </c>
      <c r="N104" s="530"/>
      <c r="O104" s="138"/>
      <c r="P104" s="138"/>
    </row>
    <row r="105" spans="1:16">
      <c r="A105" s="1370"/>
      <c r="B105" s="1797"/>
      <c r="C105" s="1031" t="s">
        <v>586</v>
      </c>
      <c r="D105" s="130"/>
      <c r="E105" s="512">
        <f t="shared" si="2"/>
        <v>2.61451476</v>
      </c>
      <c r="F105" s="1050"/>
      <c r="G105" s="512">
        <f t="shared" si="3"/>
        <v>9.9661429296000001</v>
      </c>
      <c r="H105" s="282"/>
      <c r="I105" s="512">
        <f t="shared" si="4"/>
        <v>11.6471790864</v>
      </c>
      <c r="J105" s="282"/>
      <c r="K105" s="512">
        <f t="shared" si="5"/>
        <v>10.334111673600001</v>
      </c>
      <c r="L105" s="282"/>
      <c r="M105" s="512">
        <f t="shared" si="6"/>
        <v>8.6453288063999985</v>
      </c>
      <c r="N105" s="530"/>
      <c r="O105" s="138"/>
      <c r="P105" s="138"/>
    </row>
    <row r="106" spans="1:16">
      <c r="A106" s="1370"/>
      <c r="B106" s="1797"/>
      <c r="C106" s="1031" t="s">
        <v>587</v>
      </c>
      <c r="D106" s="130"/>
      <c r="E106" s="512">
        <f t="shared" si="2"/>
        <v>2.4144479999999997</v>
      </c>
      <c r="F106" s="1050"/>
      <c r="G106" s="512">
        <f t="shared" si="3"/>
        <v>9.203518080000002</v>
      </c>
      <c r="H106" s="282"/>
      <c r="I106" s="512">
        <f t="shared" si="4"/>
        <v>10.75591872</v>
      </c>
      <c r="J106" s="282"/>
      <c r="K106" s="512">
        <f t="shared" si="5"/>
        <v>9.5433292799999982</v>
      </c>
      <c r="L106" s="282"/>
      <c r="M106" s="512">
        <f t="shared" si="6"/>
        <v>7.9837747199999995</v>
      </c>
      <c r="N106" s="530"/>
      <c r="O106" s="138"/>
      <c r="P106" s="138"/>
    </row>
    <row r="107" spans="1:16">
      <c r="A107" s="1370"/>
      <c r="B107" s="1797"/>
      <c r="C107" s="1031" t="s">
        <v>803</v>
      </c>
      <c r="D107" s="1049"/>
      <c r="E107" s="512">
        <f t="shared" si="2"/>
        <v>1.041012</v>
      </c>
      <c r="F107" s="840"/>
      <c r="G107" s="512">
        <f t="shared" si="3"/>
        <v>3.9681835200000002</v>
      </c>
      <c r="H107" s="840"/>
      <c r="I107" s="512">
        <f t="shared" si="4"/>
        <v>4.6375156799999999</v>
      </c>
      <c r="J107" s="840"/>
      <c r="K107" s="512">
        <f t="shared" si="5"/>
        <v>4.1146963200000002</v>
      </c>
      <c r="L107" s="532"/>
      <c r="M107" s="512">
        <f t="shared" si="6"/>
        <v>3.4422796799999991</v>
      </c>
      <c r="N107" s="1120"/>
      <c r="O107" s="809"/>
      <c r="P107" s="809"/>
    </row>
    <row r="108" spans="1:16">
      <c r="A108" s="1370"/>
      <c r="B108" s="1797"/>
      <c r="C108" s="1031" t="s">
        <v>19</v>
      </c>
      <c r="D108" s="1049"/>
      <c r="E108" s="512">
        <f t="shared" si="2"/>
        <v>8.8136100000000006</v>
      </c>
      <c r="F108" s="840"/>
      <c r="G108" s="512">
        <f t="shared" si="3"/>
        <v>33.596175600000002</v>
      </c>
      <c r="H108" s="840"/>
      <c r="I108" s="512">
        <f t="shared" si="4"/>
        <v>39.263000399999996</v>
      </c>
      <c r="J108" s="840"/>
      <c r="K108" s="512">
        <f t="shared" si="5"/>
        <v>34.836609599999996</v>
      </c>
      <c r="L108" s="840"/>
      <c r="M108" s="512">
        <f t="shared" si="6"/>
        <v>29.143670399999994</v>
      </c>
      <c r="N108" s="1050"/>
      <c r="O108" s="1025"/>
      <c r="P108" s="1025"/>
    </row>
    <row r="109" spans="1:16">
      <c r="A109" s="1370"/>
      <c r="B109" s="1797"/>
      <c r="C109" s="1031" t="s">
        <v>20</v>
      </c>
      <c r="D109" s="1049"/>
      <c r="E109" s="512">
        <f t="shared" si="2"/>
        <v>5.9661360000000005</v>
      </c>
      <c r="F109" s="840"/>
      <c r="G109" s="512">
        <f t="shared" si="3"/>
        <v>22.742026560000003</v>
      </c>
      <c r="H109" s="840"/>
      <c r="I109" s="512">
        <f t="shared" si="4"/>
        <v>26.578031039999999</v>
      </c>
      <c r="J109" s="840"/>
      <c r="K109" s="512">
        <f t="shared" si="5"/>
        <v>23.581704960000003</v>
      </c>
      <c r="L109" s="840"/>
      <c r="M109" s="512">
        <f t="shared" si="6"/>
        <v>19.72802304</v>
      </c>
      <c r="N109" s="1050"/>
      <c r="O109" s="1025"/>
      <c r="P109" s="1025"/>
    </row>
    <row r="110" spans="1:16">
      <c r="A110" s="1370"/>
      <c r="B110" s="1797"/>
      <c r="C110" s="1031" t="s">
        <v>802</v>
      </c>
      <c r="D110" s="1049"/>
      <c r="E110" s="512">
        <f t="shared" si="2"/>
        <v>6.8125050000000025</v>
      </c>
      <c r="F110" s="840"/>
      <c r="G110" s="512">
        <f t="shared" si="3"/>
        <v>25.968259800000009</v>
      </c>
      <c r="H110" s="840"/>
      <c r="I110" s="512">
        <f t="shared" si="4"/>
        <v>30.348448200000007</v>
      </c>
      <c r="J110" s="840"/>
      <c r="K110" s="512">
        <f t="shared" si="5"/>
        <v>26.927056800000006</v>
      </c>
      <c r="L110" s="840"/>
      <c r="M110" s="512">
        <f t="shared" si="6"/>
        <v>22.526683200000008</v>
      </c>
      <c r="N110" s="1050"/>
    </row>
    <row r="111" spans="1:16">
      <c r="A111" s="1370"/>
      <c r="B111" s="1797"/>
      <c r="C111" s="1031" t="s">
        <v>22</v>
      </c>
      <c r="D111" s="1049"/>
      <c r="E111" s="512">
        <f t="shared" si="2"/>
        <v>2.0706515999999997</v>
      </c>
      <c r="F111" s="840"/>
      <c r="G111" s="512">
        <f t="shared" si="3"/>
        <v>7.8930171359999992</v>
      </c>
      <c r="H111" s="840"/>
      <c r="I111" s="512">
        <f t="shared" si="4"/>
        <v>9.2243694239999989</v>
      </c>
      <c r="J111" s="840"/>
      <c r="K111" s="512">
        <f t="shared" si="5"/>
        <v>8.1844421759999992</v>
      </c>
      <c r="L111" s="840"/>
      <c r="M111" s="512">
        <f t="shared" si="6"/>
        <v>6.8469546239999985</v>
      </c>
      <c r="N111" s="1050"/>
    </row>
    <row r="112" spans="1:16">
      <c r="A112" s="1370"/>
      <c r="B112" s="1798"/>
      <c r="C112" s="1031" t="s">
        <v>588</v>
      </c>
      <c r="D112" s="1049"/>
      <c r="E112" s="512">
        <f t="shared" si="2"/>
        <v>4.4177400000000002</v>
      </c>
      <c r="F112" s="840"/>
      <c r="G112" s="512">
        <f t="shared" si="3"/>
        <v>16.839770400000003</v>
      </c>
      <c r="H112" s="840"/>
      <c r="I112" s="512">
        <f t="shared" si="4"/>
        <v>19.680213599999998</v>
      </c>
      <c r="J112" s="840"/>
      <c r="K112" s="512">
        <f t="shared" si="5"/>
        <v>17.4615264</v>
      </c>
      <c r="L112" s="840"/>
      <c r="M112" s="512">
        <f t="shared" si="6"/>
        <v>14.607993599999999</v>
      </c>
      <c r="N112" s="1050"/>
    </row>
    <row r="113" spans="1:14">
      <c r="A113" s="1370"/>
      <c r="B113" s="1799" t="s">
        <v>810</v>
      </c>
      <c r="C113" s="1034" t="s">
        <v>9</v>
      </c>
      <c r="D113" s="1049"/>
      <c r="E113" s="512">
        <f t="shared" si="2"/>
        <v>6.4822680000000013</v>
      </c>
      <c r="F113" s="840"/>
      <c r="G113" s="512">
        <f t="shared" si="3"/>
        <v>24.709445280000004</v>
      </c>
      <c r="H113" s="840"/>
      <c r="I113" s="512">
        <f t="shared" si="4"/>
        <v>28.877303519999998</v>
      </c>
      <c r="J113" s="840"/>
      <c r="K113" s="512">
        <f t="shared" si="5"/>
        <v>25.62176448</v>
      </c>
      <c r="L113" s="840"/>
      <c r="M113" s="512">
        <f t="shared" si="6"/>
        <v>21.434699519999999</v>
      </c>
      <c r="N113" s="1050"/>
    </row>
    <row r="114" spans="1:14">
      <c r="A114" s="1370"/>
      <c r="B114" s="1800"/>
      <c r="C114" s="1031" t="s">
        <v>804</v>
      </c>
      <c r="D114" s="1049"/>
      <c r="E114" s="512">
        <f t="shared" si="2"/>
        <v>16.428743999999998</v>
      </c>
      <c r="F114" s="840"/>
      <c r="G114" s="512">
        <f t="shared" si="3"/>
        <v>62.623938240000001</v>
      </c>
      <c r="H114" s="840"/>
      <c r="I114" s="512">
        <f t="shared" si="4"/>
        <v>73.187012159999981</v>
      </c>
      <c r="J114" s="840"/>
      <c r="K114" s="512">
        <f t="shared" si="5"/>
        <v>64.936131840000002</v>
      </c>
      <c r="L114" s="840"/>
      <c r="M114" s="512">
        <f t="shared" si="6"/>
        <v>54.32438015999999</v>
      </c>
      <c r="N114" s="1050"/>
    </row>
    <row r="115" spans="1:14">
      <c r="A115" s="1370"/>
      <c r="B115" s="1800"/>
      <c r="C115" s="1031" t="s">
        <v>586</v>
      </c>
      <c r="D115" s="1049"/>
      <c r="E115" s="512">
        <f t="shared" ref="E115:E142" si="7">$I41*E$81*($O$9-F$81)/1000</f>
        <v>2.61451476</v>
      </c>
      <c r="F115" s="840"/>
      <c r="G115" s="512">
        <f t="shared" ref="G115:G142" si="8">$I41*G$81*($O$9-H$81)/1000</f>
        <v>9.9661429296000001</v>
      </c>
      <c r="H115" s="840"/>
      <c r="I115" s="512">
        <f t="shared" ref="I115:I142" si="9">$I41*I$81*($O$9-J$81)/1000</f>
        <v>11.6471790864</v>
      </c>
      <c r="J115" s="840"/>
      <c r="K115" s="512">
        <f t="shared" ref="K115:K142" si="10">$I41*K$81*($O$9-L$81)/1000</f>
        <v>10.334111673600001</v>
      </c>
      <c r="L115" s="840"/>
      <c r="M115" s="512">
        <f t="shared" ref="M115:M142" si="11">$I41*M$81*($O$9-N$81)/1000</f>
        <v>8.6453288063999985</v>
      </c>
      <c r="N115" s="1050"/>
    </row>
    <row r="116" spans="1:14">
      <c r="A116" s="1370"/>
      <c r="B116" s="1800"/>
      <c r="C116" s="1031" t="s">
        <v>587</v>
      </c>
      <c r="D116" s="1049"/>
      <c r="E116" s="512">
        <f t="shared" si="7"/>
        <v>2.4144479999999997</v>
      </c>
      <c r="F116" s="840"/>
      <c r="G116" s="512">
        <f t="shared" si="8"/>
        <v>9.203518080000002</v>
      </c>
      <c r="H116" s="840"/>
      <c r="I116" s="512">
        <f t="shared" si="9"/>
        <v>10.75591872</v>
      </c>
      <c r="J116" s="840"/>
      <c r="K116" s="512">
        <f t="shared" si="10"/>
        <v>9.5433292799999982</v>
      </c>
      <c r="L116" s="840"/>
      <c r="M116" s="512">
        <f t="shared" si="11"/>
        <v>7.9837747199999995</v>
      </c>
      <c r="N116" s="1050"/>
    </row>
    <row r="117" spans="1:14">
      <c r="A117" s="1370"/>
      <c r="B117" s="1800"/>
      <c r="C117" s="1031" t="s">
        <v>803</v>
      </c>
      <c r="D117" s="1049"/>
      <c r="E117" s="512">
        <f t="shared" si="7"/>
        <v>1.041012</v>
      </c>
      <c r="F117" s="840"/>
      <c r="G117" s="512">
        <f t="shared" si="8"/>
        <v>3.9681835200000002</v>
      </c>
      <c r="H117" s="840"/>
      <c r="I117" s="512">
        <f t="shared" si="9"/>
        <v>4.6375156799999999</v>
      </c>
      <c r="J117" s="840"/>
      <c r="K117" s="512">
        <f t="shared" si="10"/>
        <v>4.1146963200000002</v>
      </c>
      <c r="L117" s="840"/>
      <c r="M117" s="512">
        <f t="shared" si="11"/>
        <v>3.4422796799999991</v>
      </c>
      <c r="N117" s="1050"/>
    </row>
    <row r="118" spans="1:14">
      <c r="A118" s="1370"/>
      <c r="B118" s="1800"/>
      <c r="C118" s="1031" t="s">
        <v>19</v>
      </c>
      <c r="D118" s="1049"/>
      <c r="E118" s="512">
        <f t="shared" si="7"/>
        <v>8.8136100000000006</v>
      </c>
      <c r="F118" s="840"/>
      <c r="G118" s="512">
        <f t="shared" si="8"/>
        <v>33.596175600000002</v>
      </c>
      <c r="H118" s="840"/>
      <c r="I118" s="512">
        <f t="shared" si="9"/>
        <v>39.263000399999996</v>
      </c>
      <c r="J118" s="840"/>
      <c r="K118" s="512">
        <f t="shared" si="10"/>
        <v>34.836609599999996</v>
      </c>
      <c r="L118" s="840"/>
      <c r="M118" s="512">
        <f t="shared" si="11"/>
        <v>29.143670399999994</v>
      </c>
      <c r="N118" s="1050"/>
    </row>
    <row r="119" spans="1:14">
      <c r="A119" s="1370"/>
      <c r="B119" s="1800"/>
      <c r="C119" s="1031" t="s">
        <v>20</v>
      </c>
      <c r="D119" s="1049"/>
      <c r="E119" s="512">
        <f t="shared" si="7"/>
        <v>5.9661360000000005</v>
      </c>
      <c r="F119" s="840"/>
      <c r="G119" s="512">
        <f t="shared" si="8"/>
        <v>22.742026560000003</v>
      </c>
      <c r="H119" s="840"/>
      <c r="I119" s="512">
        <f t="shared" si="9"/>
        <v>26.578031039999999</v>
      </c>
      <c r="J119" s="840"/>
      <c r="K119" s="512">
        <f t="shared" si="10"/>
        <v>23.581704960000003</v>
      </c>
      <c r="L119" s="840"/>
      <c r="M119" s="512">
        <f t="shared" si="11"/>
        <v>19.72802304</v>
      </c>
      <c r="N119" s="1050"/>
    </row>
    <row r="120" spans="1:14">
      <c r="A120" s="1370"/>
      <c r="B120" s="1800"/>
      <c r="C120" s="1031" t="s">
        <v>802</v>
      </c>
      <c r="D120" s="1049"/>
      <c r="E120" s="512">
        <f t="shared" si="7"/>
        <v>6.8125050000000025</v>
      </c>
      <c r="F120" s="840"/>
      <c r="G120" s="512">
        <f t="shared" si="8"/>
        <v>25.968259800000009</v>
      </c>
      <c r="H120" s="840"/>
      <c r="I120" s="512">
        <f t="shared" si="9"/>
        <v>30.348448200000007</v>
      </c>
      <c r="J120" s="840"/>
      <c r="K120" s="512">
        <f t="shared" si="10"/>
        <v>26.927056800000006</v>
      </c>
      <c r="L120" s="840"/>
      <c r="M120" s="512">
        <f t="shared" si="11"/>
        <v>22.526683200000008</v>
      </c>
      <c r="N120" s="1050"/>
    </row>
    <row r="121" spans="1:14">
      <c r="A121" s="1370"/>
      <c r="B121" s="1800"/>
      <c r="C121" s="1031" t="s">
        <v>22</v>
      </c>
      <c r="D121" s="1049"/>
      <c r="E121" s="512">
        <f t="shared" si="7"/>
        <v>2.0706515999999997</v>
      </c>
      <c r="F121" s="840"/>
      <c r="G121" s="512">
        <f t="shared" si="8"/>
        <v>7.8930171359999992</v>
      </c>
      <c r="H121" s="840"/>
      <c r="I121" s="512">
        <f t="shared" si="9"/>
        <v>9.2243694239999989</v>
      </c>
      <c r="J121" s="840"/>
      <c r="K121" s="512">
        <f t="shared" si="10"/>
        <v>8.1844421759999992</v>
      </c>
      <c r="L121" s="840"/>
      <c r="M121" s="512">
        <f t="shared" si="11"/>
        <v>6.8469546239999985</v>
      </c>
      <c r="N121" s="1050"/>
    </row>
    <row r="122" spans="1:14">
      <c r="A122" s="1371"/>
      <c r="B122" s="1801"/>
      <c r="C122" s="1031" t="s">
        <v>588</v>
      </c>
      <c r="D122" s="1049"/>
      <c r="E122" s="512">
        <f t="shared" si="7"/>
        <v>4.4177400000000002</v>
      </c>
      <c r="F122" s="840"/>
      <c r="G122" s="512">
        <f t="shared" si="8"/>
        <v>16.839770400000003</v>
      </c>
      <c r="H122" s="840"/>
      <c r="I122" s="512">
        <f t="shared" si="9"/>
        <v>19.680213599999998</v>
      </c>
      <c r="J122" s="840"/>
      <c r="K122" s="512">
        <f t="shared" si="10"/>
        <v>17.4615264</v>
      </c>
      <c r="L122" s="840"/>
      <c r="M122" s="512">
        <f t="shared" si="11"/>
        <v>14.607993599999999</v>
      </c>
      <c r="N122" s="1050"/>
    </row>
    <row r="123" spans="1:14">
      <c r="A123" s="1377" t="s">
        <v>857</v>
      </c>
      <c r="B123" s="1802" t="s">
        <v>809</v>
      </c>
      <c r="C123" s="1034" t="s">
        <v>9</v>
      </c>
      <c r="D123" s="1049"/>
      <c r="E123" s="512">
        <f t="shared" si="7"/>
        <v>6.4822680000000013</v>
      </c>
      <c r="F123" s="840"/>
      <c r="G123" s="512">
        <f t="shared" si="8"/>
        <v>24.709445280000004</v>
      </c>
      <c r="H123" s="840"/>
      <c r="I123" s="512">
        <f t="shared" si="9"/>
        <v>28.877303519999998</v>
      </c>
      <c r="J123" s="840"/>
      <c r="K123" s="512">
        <f t="shared" si="10"/>
        <v>25.62176448</v>
      </c>
      <c r="L123" s="840"/>
      <c r="M123" s="512">
        <f t="shared" si="11"/>
        <v>21.434699519999999</v>
      </c>
      <c r="N123" s="1050"/>
    </row>
    <row r="124" spans="1:14">
      <c r="A124" s="1377"/>
      <c r="B124" s="1802"/>
      <c r="C124" s="1031" t="s">
        <v>804</v>
      </c>
      <c r="D124" s="1049"/>
      <c r="E124" s="512">
        <f t="shared" si="7"/>
        <v>16.428743999999998</v>
      </c>
      <c r="F124" s="840"/>
      <c r="G124" s="512">
        <f t="shared" si="8"/>
        <v>62.623938240000001</v>
      </c>
      <c r="H124" s="840"/>
      <c r="I124" s="512">
        <f t="shared" si="9"/>
        <v>73.187012159999981</v>
      </c>
      <c r="J124" s="840"/>
      <c r="K124" s="512">
        <f t="shared" si="10"/>
        <v>64.936131840000002</v>
      </c>
      <c r="L124" s="840"/>
      <c r="M124" s="512">
        <f t="shared" si="11"/>
        <v>54.32438015999999</v>
      </c>
      <c r="N124" s="1050"/>
    </row>
    <row r="125" spans="1:14">
      <c r="A125" s="1377"/>
      <c r="B125" s="1802"/>
      <c r="C125" s="1031" t="s">
        <v>586</v>
      </c>
      <c r="D125" s="1049"/>
      <c r="E125" s="512">
        <f t="shared" si="7"/>
        <v>2.61451476</v>
      </c>
      <c r="F125" s="840"/>
      <c r="G125" s="512">
        <f t="shared" si="8"/>
        <v>9.9661429296000001</v>
      </c>
      <c r="H125" s="840"/>
      <c r="I125" s="512">
        <f t="shared" si="9"/>
        <v>11.6471790864</v>
      </c>
      <c r="J125" s="840"/>
      <c r="K125" s="512">
        <f t="shared" si="10"/>
        <v>10.334111673600001</v>
      </c>
      <c r="L125" s="840"/>
      <c r="M125" s="512">
        <f t="shared" si="11"/>
        <v>8.6453288063999985</v>
      </c>
      <c r="N125" s="1050"/>
    </row>
    <row r="126" spans="1:14">
      <c r="A126" s="1377"/>
      <c r="B126" s="1802"/>
      <c r="C126" s="1031" t="s">
        <v>587</v>
      </c>
      <c r="D126" s="1049"/>
      <c r="E126" s="512">
        <f t="shared" si="7"/>
        <v>2.4144479999999997</v>
      </c>
      <c r="F126" s="840"/>
      <c r="G126" s="512">
        <f t="shared" si="8"/>
        <v>9.203518080000002</v>
      </c>
      <c r="H126" s="840"/>
      <c r="I126" s="512">
        <f t="shared" si="9"/>
        <v>10.75591872</v>
      </c>
      <c r="J126" s="840"/>
      <c r="K126" s="512">
        <f t="shared" si="10"/>
        <v>9.5433292799999982</v>
      </c>
      <c r="L126" s="840"/>
      <c r="M126" s="512">
        <f t="shared" si="11"/>
        <v>7.9837747199999995</v>
      </c>
      <c r="N126" s="1050"/>
    </row>
    <row r="127" spans="1:14">
      <c r="A127" s="1377"/>
      <c r="B127" s="1802"/>
      <c r="C127" s="1031" t="s">
        <v>803</v>
      </c>
      <c r="D127" s="1049"/>
      <c r="E127" s="512">
        <f t="shared" si="7"/>
        <v>1.041012</v>
      </c>
      <c r="F127" s="840"/>
      <c r="G127" s="512">
        <f t="shared" si="8"/>
        <v>3.9681835200000002</v>
      </c>
      <c r="H127" s="840"/>
      <c r="I127" s="512">
        <f t="shared" si="9"/>
        <v>4.6375156799999999</v>
      </c>
      <c r="J127" s="840"/>
      <c r="K127" s="512">
        <f t="shared" si="10"/>
        <v>4.1146963200000002</v>
      </c>
      <c r="L127" s="840"/>
      <c r="M127" s="512">
        <f t="shared" si="11"/>
        <v>3.4422796799999991</v>
      </c>
      <c r="N127" s="1050"/>
    </row>
    <row r="128" spans="1:14">
      <c r="A128" s="1377"/>
      <c r="B128" s="1802"/>
      <c r="C128" s="1031" t="s">
        <v>19</v>
      </c>
      <c r="D128" s="1049"/>
      <c r="E128" s="512">
        <f t="shared" si="7"/>
        <v>8.8136100000000006</v>
      </c>
      <c r="F128" s="840"/>
      <c r="G128" s="512">
        <f t="shared" si="8"/>
        <v>33.596175600000002</v>
      </c>
      <c r="H128" s="840"/>
      <c r="I128" s="512">
        <f t="shared" si="9"/>
        <v>39.263000399999996</v>
      </c>
      <c r="J128" s="840"/>
      <c r="K128" s="512">
        <f t="shared" si="10"/>
        <v>34.836609599999996</v>
      </c>
      <c r="L128" s="840"/>
      <c r="M128" s="512">
        <f t="shared" si="11"/>
        <v>29.143670399999994</v>
      </c>
      <c r="N128" s="1050"/>
    </row>
    <row r="129" spans="1:14">
      <c r="A129" s="1377"/>
      <c r="B129" s="1802"/>
      <c r="C129" s="1031" t="s">
        <v>20</v>
      </c>
      <c r="D129" s="1049"/>
      <c r="E129" s="512">
        <f t="shared" si="7"/>
        <v>5.9661360000000005</v>
      </c>
      <c r="F129" s="840"/>
      <c r="G129" s="512">
        <f t="shared" si="8"/>
        <v>22.742026560000003</v>
      </c>
      <c r="H129" s="840"/>
      <c r="I129" s="512">
        <f t="shared" si="9"/>
        <v>26.578031039999999</v>
      </c>
      <c r="J129" s="840"/>
      <c r="K129" s="512">
        <f t="shared" si="10"/>
        <v>23.581704960000003</v>
      </c>
      <c r="L129" s="840"/>
      <c r="M129" s="512">
        <f t="shared" si="11"/>
        <v>19.72802304</v>
      </c>
      <c r="N129" s="1050"/>
    </row>
    <row r="130" spans="1:14">
      <c r="A130" s="1377"/>
      <c r="B130" s="1802"/>
      <c r="C130" s="1031" t="s">
        <v>802</v>
      </c>
      <c r="D130" s="1049"/>
      <c r="E130" s="512">
        <f t="shared" si="7"/>
        <v>6.8125050000000025</v>
      </c>
      <c r="F130" s="840"/>
      <c r="G130" s="512">
        <f t="shared" si="8"/>
        <v>25.968259800000009</v>
      </c>
      <c r="H130" s="840"/>
      <c r="I130" s="512">
        <f t="shared" si="9"/>
        <v>30.348448200000007</v>
      </c>
      <c r="J130" s="840"/>
      <c r="K130" s="512">
        <f t="shared" si="10"/>
        <v>26.927056800000006</v>
      </c>
      <c r="L130" s="840"/>
      <c r="M130" s="512">
        <f t="shared" si="11"/>
        <v>22.526683200000008</v>
      </c>
      <c r="N130" s="1050"/>
    </row>
    <row r="131" spans="1:14">
      <c r="A131" s="1377"/>
      <c r="B131" s="1802"/>
      <c r="C131" s="1031" t="s">
        <v>22</v>
      </c>
      <c r="D131" s="1049"/>
      <c r="E131" s="512">
        <f t="shared" si="7"/>
        <v>2.0706515999999997</v>
      </c>
      <c r="F131" s="840"/>
      <c r="G131" s="512">
        <f t="shared" si="8"/>
        <v>7.8930171359999992</v>
      </c>
      <c r="H131" s="840"/>
      <c r="I131" s="512">
        <f t="shared" si="9"/>
        <v>9.2243694239999989</v>
      </c>
      <c r="J131" s="840"/>
      <c r="K131" s="512">
        <f t="shared" si="10"/>
        <v>8.1844421759999992</v>
      </c>
      <c r="L131" s="840"/>
      <c r="M131" s="512">
        <f t="shared" si="11"/>
        <v>6.8469546239999985</v>
      </c>
      <c r="N131" s="1050"/>
    </row>
    <row r="132" spans="1:14">
      <c r="A132" s="1377"/>
      <c r="B132" s="1802"/>
      <c r="C132" s="1031" t="s">
        <v>588</v>
      </c>
      <c r="D132" s="1049"/>
      <c r="E132" s="512">
        <f t="shared" si="7"/>
        <v>4.4177400000000002</v>
      </c>
      <c r="F132" s="840"/>
      <c r="G132" s="512">
        <f t="shared" si="8"/>
        <v>16.839770400000003</v>
      </c>
      <c r="H132" s="840"/>
      <c r="I132" s="512">
        <f t="shared" si="9"/>
        <v>19.680213599999998</v>
      </c>
      <c r="J132" s="840"/>
      <c r="K132" s="512">
        <f t="shared" si="10"/>
        <v>17.4615264</v>
      </c>
      <c r="L132" s="840"/>
      <c r="M132" s="512">
        <f t="shared" si="11"/>
        <v>14.607993599999999</v>
      </c>
      <c r="N132" s="1050"/>
    </row>
    <row r="133" spans="1:14">
      <c r="A133" s="1377"/>
      <c r="B133" s="1803" t="s">
        <v>810</v>
      </c>
      <c r="C133" s="1034" t="s">
        <v>9</v>
      </c>
      <c r="D133" s="1049"/>
      <c r="E133" s="512">
        <f t="shared" si="7"/>
        <v>6.4822680000000013</v>
      </c>
      <c r="F133" s="840"/>
      <c r="G133" s="512">
        <f t="shared" si="8"/>
        <v>24.709445280000004</v>
      </c>
      <c r="H133" s="840"/>
      <c r="I133" s="512">
        <f t="shared" si="9"/>
        <v>28.877303519999998</v>
      </c>
      <c r="J133" s="840"/>
      <c r="K133" s="512">
        <f t="shared" si="10"/>
        <v>25.62176448</v>
      </c>
      <c r="L133" s="840"/>
      <c r="M133" s="512">
        <f t="shared" si="11"/>
        <v>21.434699519999999</v>
      </c>
      <c r="N133" s="1050"/>
    </row>
    <row r="134" spans="1:14">
      <c r="A134" s="1377"/>
      <c r="B134" s="1803"/>
      <c r="C134" s="1031" t="s">
        <v>804</v>
      </c>
      <c r="D134" s="1049"/>
      <c r="E134" s="512">
        <f t="shared" si="7"/>
        <v>16.428743999999998</v>
      </c>
      <c r="F134" s="840"/>
      <c r="G134" s="512">
        <f t="shared" si="8"/>
        <v>62.623938240000001</v>
      </c>
      <c r="H134" s="840"/>
      <c r="I134" s="512">
        <f t="shared" si="9"/>
        <v>73.187012159999981</v>
      </c>
      <c r="J134" s="840"/>
      <c r="K134" s="512">
        <f t="shared" si="10"/>
        <v>64.936131840000002</v>
      </c>
      <c r="L134" s="840"/>
      <c r="M134" s="512">
        <f t="shared" si="11"/>
        <v>54.32438015999999</v>
      </c>
      <c r="N134" s="1050"/>
    </row>
    <row r="135" spans="1:14">
      <c r="A135" s="1377"/>
      <c r="B135" s="1803"/>
      <c r="C135" s="1031" t="s">
        <v>586</v>
      </c>
      <c r="D135" s="1049"/>
      <c r="E135" s="512">
        <f t="shared" si="7"/>
        <v>2.61451476</v>
      </c>
      <c r="F135" s="840"/>
      <c r="G135" s="512">
        <f t="shared" si="8"/>
        <v>9.9661429296000001</v>
      </c>
      <c r="H135" s="840"/>
      <c r="I135" s="512">
        <f t="shared" si="9"/>
        <v>11.6471790864</v>
      </c>
      <c r="J135" s="840"/>
      <c r="K135" s="512">
        <f t="shared" si="10"/>
        <v>10.334111673600001</v>
      </c>
      <c r="L135" s="840"/>
      <c r="M135" s="512">
        <f t="shared" si="11"/>
        <v>8.6453288063999985</v>
      </c>
      <c r="N135" s="1050"/>
    </row>
    <row r="136" spans="1:14">
      <c r="A136" s="1377"/>
      <c r="B136" s="1803"/>
      <c r="C136" s="1031" t="s">
        <v>587</v>
      </c>
      <c r="D136" s="1049"/>
      <c r="E136" s="512">
        <f t="shared" si="7"/>
        <v>2.4144479999999997</v>
      </c>
      <c r="F136" s="840"/>
      <c r="G136" s="512">
        <f t="shared" si="8"/>
        <v>9.203518080000002</v>
      </c>
      <c r="H136" s="840"/>
      <c r="I136" s="512">
        <f t="shared" si="9"/>
        <v>10.75591872</v>
      </c>
      <c r="J136" s="840"/>
      <c r="K136" s="512">
        <f t="shared" si="10"/>
        <v>9.5433292799999982</v>
      </c>
      <c r="L136" s="840"/>
      <c r="M136" s="512">
        <f t="shared" si="11"/>
        <v>7.9837747199999995</v>
      </c>
      <c r="N136" s="1050"/>
    </row>
    <row r="137" spans="1:14">
      <c r="A137" s="1377"/>
      <c r="B137" s="1803"/>
      <c r="C137" s="1031" t="s">
        <v>803</v>
      </c>
      <c r="D137" s="1049"/>
      <c r="E137" s="512">
        <f t="shared" si="7"/>
        <v>1.041012</v>
      </c>
      <c r="F137" s="840"/>
      <c r="G137" s="512">
        <f t="shared" si="8"/>
        <v>3.9681835200000002</v>
      </c>
      <c r="H137" s="840"/>
      <c r="I137" s="512">
        <f t="shared" si="9"/>
        <v>4.6375156799999999</v>
      </c>
      <c r="J137" s="840"/>
      <c r="K137" s="512">
        <f t="shared" si="10"/>
        <v>4.1146963200000002</v>
      </c>
      <c r="L137" s="840"/>
      <c r="M137" s="512">
        <f t="shared" si="11"/>
        <v>3.4422796799999991</v>
      </c>
      <c r="N137" s="1050"/>
    </row>
    <row r="138" spans="1:14">
      <c r="A138" s="1377"/>
      <c r="B138" s="1803"/>
      <c r="C138" s="1031" t="s">
        <v>19</v>
      </c>
      <c r="D138" s="1049"/>
      <c r="E138" s="512">
        <f t="shared" si="7"/>
        <v>8.8136100000000006</v>
      </c>
      <c r="F138" s="840"/>
      <c r="G138" s="512">
        <f t="shared" si="8"/>
        <v>33.596175600000002</v>
      </c>
      <c r="H138" s="840"/>
      <c r="I138" s="512">
        <f t="shared" si="9"/>
        <v>39.263000399999996</v>
      </c>
      <c r="J138" s="840"/>
      <c r="K138" s="512">
        <f t="shared" si="10"/>
        <v>34.836609599999996</v>
      </c>
      <c r="L138" s="840"/>
      <c r="M138" s="512">
        <f t="shared" si="11"/>
        <v>29.143670399999994</v>
      </c>
      <c r="N138" s="1050"/>
    </row>
    <row r="139" spans="1:14">
      <c r="A139" s="1377"/>
      <c r="B139" s="1803"/>
      <c r="C139" s="1031" t="s">
        <v>20</v>
      </c>
      <c r="D139" s="1049"/>
      <c r="E139" s="512">
        <f t="shared" si="7"/>
        <v>5.9661360000000005</v>
      </c>
      <c r="F139" s="840"/>
      <c r="G139" s="512">
        <f t="shared" si="8"/>
        <v>22.742026560000003</v>
      </c>
      <c r="H139" s="840"/>
      <c r="I139" s="512">
        <f t="shared" si="9"/>
        <v>26.578031039999999</v>
      </c>
      <c r="J139" s="840"/>
      <c r="K139" s="512">
        <f t="shared" si="10"/>
        <v>23.581704960000003</v>
      </c>
      <c r="L139" s="840"/>
      <c r="M139" s="512">
        <f t="shared" si="11"/>
        <v>19.72802304</v>
      </c>
      <c r="N139" s="1050"/>
    </row>
    <row r="140" spans="1:14">
      <c r="A140" s="1377"/>
      <c r="B140" s="1803"/>
      <c r="C140" s="1031" t="s">
        <v>802</v>
      </c>
      <c r="D140" s="1049"/>
      <c r="E140" s="512">
        <f t="shared" si="7"/>
        <v>6.8125050000000025</v>
      </c>
      <c r="F140" s="840"/>
      <c r="G140" s="512">
        <f t="shared" si="8"/>
        <v>25.968259800000009</v>
      </c>
      <c r="H140" s="840"/>
      <c r="I140" s="512">
        <f t="shared" si="9"/>
        <v>30.348448200000007</v>
      </c>
      <c r="J140" s="840"/>
      <c r="K140" s="512">
        <f t="shared" si="10"/>
        <v>26.927056800000006</v>
      </c>
      <c r="L140" s="840"/>
      <c r="M140" s="512">
        <f t="shared" si="11"/>
        <v>22.526683200000008</v>
      </c>
      <c r="N140" s="1050"/>
    </row>
    <row r="141" spans="1:14">
      <c r="A141" s="1377"/>
      <c r="B141" s="1803"/>
      <c r="C141" s="1031" t="s">
        <v>22</v>
      </c>
      <c r="D141" s="1049"/>
      <c r="E141" s="512">
        <f t="shared" si="7"/>
        <v>2.0706515999999997</v>
      </c>
      <c r="F141" s="840"/>
      <c r="G141" s="512">
        <f t="shared" si="8"/>
        <v>7.8930171359999992</v>
      </c>
      <c r="H141" s="840"/>
      <c r="I141" s="512">
        <f t="shared" si="9"/>
        <v>9.2243694239999989</v>
      </c>
      <c r="J141" s="840"/>
      <c r="K141" s="512">
        <f t="shared" si="10"/>
        <v>8.1844421759999992</v>
      </c>
      <c r="L141" s="840"/>
      <c r="M141" s="512">
        <f t="shared" si="11"/>
        <v>6.8469546239999985</v>
      </c>
      <c r="N141" s="1050"/>
    </row>
    <row r="142" spans="1:14">
      <c r="A142" s="1377"/>
      <c r="B142" s="1803"/>
      <c r="C142" s="1035" t="s">
        <v>588</v>
      </c>
      <c r="D142" s="1049"/>
      <c r="E142" s="512">
        <f t="shared" si="7"/>
        <v>4.4177400000000002</v>
      </c>
      <c r="F142" s="840"/>
      <c r="G142" s="512">
        <f t="shared" si="8"/>
        <v>16.839770400000003</v>
      </c>
      <c r="H142" s="840"/>
      <c r="I142" s="512">
        <f t="shared" si="9"/>
        <v>19.680213599999998</v>
      </c>
      <c r="J142" s="840"/>
      <c r="K142" s="512">
        <f t="shared" si="10"/>
        <v>17.4615264</v>
      </c>
      <c r="L142" s="840"/>
      <c r="M142" s="512">
        <f t="shared" si="11"/>
        <v>14.607993599999999</v>
      </c>
      <c r="N142" s="1050"/>
    </row>
    <row r="143" spans="1:14">
      <c r="E143" s="51">
        <f>SUM(E83:E142)</f>
        <v>342.36977616000001</v>
      </c>
      <c r="G143" s="51">
        <f>SUM(G83:G142)</f>
        <v>1305.0628652736</v>
      </c>
      <c r="I143" s="51">
        <f>SUM(I83:I142)</f>
        <v>1525.1939509823999</v>
      </c>
      <c r="K143" s="51">
        <f>SUM(K83:K142)</f>
        <v>1353.2482411775995</v>
      </c>
      <c r="M143" s="51">
        <f>SUM(M83:M142)</f>
        <v>1132.1027265023999</v>
      </c>
    </row>
  </sheetData>
  <mergeCells count="64">
    <mergeCell ref="A9:A28"/>
    <mergeCell ref="B9:B18"/>
    <mergeCell ref="B19:B28"/>
    <mergeCell ref="B7:C8"/>
    <mergeCell ref="A123:A142"/>
    <mergeCell ref="B123:B132"/>
    <mergeCell ref="B133:B142"/>
    <mergeCell ref="A79:C80"/>
    <mergeCell ref="A81:C82"/>
    <mergeCell ref="A103:A122"/>
    <mergeCell ref="B103:B112"/>
    <mergeCell ref="B113:B122"/>
    <mergeCell ref="A83:A102"/>
    <mergeCell ref="B83:B92"/>
    <mergeCell ref="B93:B102"/>
    <mergeCell ref="A29:A48"/>
    <mergeCell ref="B29:B38"/>
    <mergeCell ref="B39:B48"/>
    <mergeCell ref="A49:A68"/>
    <mergeCell ref="B49:B58"/>
    <mergeCell ref="B59:B68"/>
    <mergeCell ref="I82:J82"/>
    <mergeCell ref="K82:L82"/>
    <mergeCell ref="M82:N82"/>
    <mergeCell ref="E79:F79"/>
    <mergeCell ref="G79:H79"/>
    <mergeCell ref="I79:J79"/>
    <mergeCell ref="K79:L79"/>
    <mergeCell ref="M79:N79"/>
    <mergeCell ref="E82:F82"/>
    <mergeCell ref="G82:H82"/>
    <mergeCell ref="L76:M76"/>
    <mergeCell ref="N76:O76"/>
    <mergeCell ref="B74:E74"/>
    <mergeCell ref="F74:F76"/>
    <mergeCell ref="G74:K74"/>
    <mergeCell ref="L74:M74"/>
    <mergeCell ref="N74:O74"/>
    <mergeCell ref="B75:E76"/>
    <mergeCell ref="G75:K75"/>
    <mergeCell ref="L75:M75"/>
    <mergeCell ref="N75:O75"/>
    <mergeCell ref="G76:K76"/>
    <mergeCell ref="M5:N6"/>
    <mergeCell ref="O5:P6"/>
    <mergeCell ref="M8:N8"/>
    <mergeCell ref="M7:N7"/>
    <mergeCell ref="A5:A8"/>
    <mergeCell ref="D5:D6"/>
    <mergeCell ref="B5:C6"/>
    <mergeCell ref="O7:P7"/>
    <mergeCell ref="O8:P8"/>
    <mergeCell ref="B1:E1"/>
    <mergeCell ref="F1:F3"/>
    <mergeCell ref="G1:K1"/>
    <mergeCell ref="L1:M1"/>
    <mergeCell ref="N1:O1"/>
    <mergeCell ref="B2:E3"/>
    <mergeCell ref="G2:K2"/>
    <mergeCell ref="L2:M2"/>
    <mergeCell ref="N2:O2"/>
    <mergeCell ref="G3:K3"/>
    <mergeCell ref="L3:M3"/>
    <mergeCell ref="N3:O3"/>
  </mergeCells>
  <pageMargins left="0.7" right="0.7" top="0.75" bottom="0.75" header="0.3" footer="0.3"/>
  <pageSetup paperSize="9" scale="46" orientation="portrait" horizontalDpi="360" verticalDpi="36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15</vt:i4>
      </vt:variant>
      <vt:variant>
        <vt:lpstr>Intervalli denominati</vt:lpstr>
      </vt:variant>
      <vt:variant>
        <vt:i4>4</vt:i4>
      </vt:variant>
    </vt:vector>
  </HeadingPairs>
  <TitlesOfParts>
    <vt:vector size="19" baseType="lpstr">
      <vt:lpstr>INTRO &amp; PIANTA</vt:lpstr>
      <vt:lpstr>1.Dati</vt:lpstr>
      <vt:lpstr>2.Stratigrafie</vt:lpstr>
      <vt:lpstr>3.Hd</vt:lpstr>
      <vt:lpstr>4.Hu</vt:lpstr>
      <vt:lpstr>5.Hg</vt:lpstr>
      <vt:lpstr>7.Apporti gratuiti</vt:lpstr>
      <vt:lpstr>8.Trasmissione</vt:lpstr>
      <vt:lpstr>9.Ventilazione</vt:lpstr>
      <vt:lpstr>10.QH,nd e costi</vt:lpstr>
      <vt:lpstr>14.Condensazione</vt:lpstr>
      <vt:lpstr>15.Inerzia termica</vt:lpstr>
      <vt:lpstr>16.Operational rating</vt:lpstr>
      <vt:lpstr>17.Efficientamento</vt:lpstr>
      <vt:lpstr>Impianto di riscaldamento</vt:lpstr>
      <vt:lpstr>'15.Inerzia termica'!Area_stampa</vt:lpstr>
      <vt:lpstr>'3.Hd'!Area_stampa</vt:lpstr>
      <vt:lpstr>'8.Trasmissione'!Area_stampa</vt:lpstr>
      <vt:lpstr>'9.Ventilazione'!Area_stampa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Frattolillo</dc:creator>
  <cp:keywords>Impianti tecnici</cp:keywords>
  <cp:lastModifiedBy>Utente di Microsoft Office</cp:lastModifiedBy>
  <cp:lastPrinted>2016-03-08T13:09:41Z</cp:lastPrinted>
  <dcterms:created xsi:type="dcterms:W3CDTF">2012-10-27T12:17:22Z</dcterms:created>
  <dcterms:modified xsi:type="dcterms:W3CDTF">2020-06-02T08:59:58Z</dcterms:modified>
</cp:coreProperties>
</file>