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efano/Documents/P11/Finanziamenti di azienda turistica/Materiale/"/>
    </mc:Choice>
  </mc:AlternateContent>
  <xr:revisionPtr revIDLastSave="0" documentId="13_ncr:1_{07821585-595D-3F40-91D8-5FEFE8F8E55F}" xr6:coauthVersionLast="43" xr6:coauthVersionMax="43" xr10:uidLastSave="{00000000-0000-0000-0000-000000000000}"/>
  <bookViews>
    <workbookView xWindow="0" yWindow="460" windowWidth="28800" windowHeight="16440" xr2:uid="{46947048-03DA-D540-8720-4EEBE6B1BE4E}"/>
  </bookViews>
  <sheets>
    <sheet name="Indici" sheetId="1" r:id="rId1"/>
    <sheet name="Rendiconto Finanziari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25" i="2" l="1"/>
  <c r="S23" i="2"/>
  <c r="S21" i="2"/>
  <c r="S20" i="2"/>
  <c r="S19" i="2"/>
  <c r="S18" i="2"/>
  <c r="S13" i="2"/>
  <c r="S11" i="2"/>
  <c r="S10" i="2"/>
  <c r="S17" i="2"/>
  <c r="S9" i="2"/>
  <c r="S8" i="2"/>
  <c r="S7" i="2"/>
  <c r="S6" i="2"/>
  <c r="S5" i="2"/>
  <c r="P24" i="2"/>
  <c r="M27" i="2"/>
  <c r="L27" i="2"/>
  <c r="P10" i="2"/>
  <c r="P21" i="2"/>
  <c r="O10" i="2"/>
  <c r="O11" i="2"/>
  <c r="O18" i="2"/>
  <c r="E37" i="2"/>
  <c r="E39" i="2" s="1"/>
  <c r="E42" i="2" s="1"/>
  <c r="E44" i="2" s="1"/>
  <c r="H23" i="2"/>
  <c r="O23" i="2" s="1"/>
  <c r="H21" i="2"/>
  <c r="O21" i="2" s="1"/>
  <c r="F19" i="2"/>
  <c r="F25" i="2" s="1"/>
  <c r="E19" i="2"/>
  <c r="E25" i="2" s="1"/>
  <c r="H18" i="2"/>
  <c r="H17" i="2"/>
  <c r="H27" i="2" s="1"/>
  <c r="F12" i="2"/>
  <c r="E12" i="2"/>
  <c r="H11" i="2"/>
  <c r="I10" i="2"/>
  <c r="F7" i="2"/>
  <c r="E7" i="2"/>
  <c r="I6" i="2"/>
  <c r="P6" i="2" s="1"/>
  <c r="I5" i="2"/>
  <c r="P5" i="2" s="1"/>
  <c r="I4" i="2"/>
  <c r="P4" i="2" s="1"/>
  <c r="I27" i="2" l="1"/>
  <c r="O17" i="2"/>
  <c r="F13" i="2"/>
  <c r="E13" i="2"/>
  <c r="P27" i="2"/>
  <c r="O27" i="2"/>
  <c r="L44" i="1"/>
  <c r="L30" i="1"/>
  <c r="L29" i="1"/>
  <c r="L28" i="1"/>
  <c r="L27" i="1"/>
  <c r="L21" i="1"/>
  <c r="E38" i="1"/>
  <c r="E36" i="1"/>
  <c r="L14" i="1" s="1"/>
  <c r="K12" i="1"/>
  <c r="L12" i="1"/>
  <c r="K11" i="1"/>
  <c r="L11" i="1"/>
  <c r="K10" i="1"/>
  <c r="L10" i="1"/>
  <c r="K9" i="1"/>
  <c r="L9" i="1"/>
  <c r="E46" i="1"/>
  <c r="L43" i="1" s="1"/>
  <c r="F28" i="1"/>
  <c r="E28" i="1"/>
  <c r="G4" i="1"/>
  <c r="G5" i="1"/>
  <c r="G9" i="1"/>
  <c r="G10" i="1"/>
  <c r="G11" i="1"/>
  <c r="G16" i="1"/>
  <c r="G17" i="1"/>
  <c r="G20" i="1"/>
  <c r="G22" i="1"/>
  <c r="G3" i="1"/>
  <c r="F18" i="1"/>
  <c r="F24" i="1" s="1"/>
  <c r="F11" i="1"/>
  <c r="F6" i="1"/>
  <c r="G6" i="1" s="1"/>
  <c r="E18" i="1"/>
  <c r="K20" i="1" s="1"/>
  <c r="E12" i="1"/>
  <c r="E11" i="1"/>
  <c r="E6" i="1"/>
  <c r="K3" i="1" s="1"/>
  <c r="K4" i="1" s="1"/>
  <c r="K18" i="1" l="1"/>
  <c r="K17" i="1"/>
  <c r="L19" i="1"/>
  <c r="K19" i="1"/>
  <c r="L3" i="1"/>
  <c r="E24" i="1"/>
  <c r="G24" i="1" s="1"/>
  <c r="L18" i="1"/>
  <c r="L34" i="1"/>
  <c r="G18" i="1"/>
  <c r="M3" i="1" s="1"/>
  <c r="L20" i="1"/>
  <c r="E41" i="1"/>
  <c r="L13" i="1"/>
  <c r="F12" i="1"/>
  <c r="L4" i="1" l="1"/>
  <c r="L26" i="1"/>
  <c r="L25" i="1"/>
  <c r="L17" i="1"/>
  <c r="G12" i="1"/>
  <c r="L35" i="1"/>
  <c r="L37" i="1"/>
  <c r="L36" i="1"/>
  <c r="E43" i="1"/>
  <c r="E45" i="1"/>
  <c r="L42" i="1" s="1"/>
</calcChain>
</file>

<file path=xl/sharedStrings.xml><?xml version="1.0" encoding="utf-8"?>
<sst xmlns="http://schemas.openxmlformats.org/spreadsheetml/2006/main" count="161" uniqueCount="122">
  <si>
    <t>Attività</t>
  </si>
  <si>
    <t>Cassa e titoli a breve</t>
  </si>
  <si>
    <t>Crediti verso clienti</t>
  </si>
  <si>
    <t>Scorte</t>
  </si>
  <si>
    <t>Totale attività correnti</t>
  </si>
  <si>
    <t>Attività fisse</t>
  </si>
  <si>
    <t>Attività correnti</t>
  </si>
  <si>
    <t>Impianti e attrezzature</t>
  </si>
  <si>
    <t>fondi ammortamento</t>
  </si>
  <si>
    <t>Attività fisse nette</t>
  </si>
  <si>
    <t>Totale attività</t>
  </si>
  <si>
    <t>Passività e capitale netto</t>
  </si>
  <si>
    <t>Passività correnti</t>
  </si>
  <si>
    <t>Debiti a breve</t>
  </si>
  <si>
    <t>Debiti verso fornitori</t>
  </si>
  <si>
    <t>Totale passività correnti</t>
  </si>
  <si>
    <t>Debiti a medio-lungo termine</t>
  </si>
  <si>
    <t>Totale passività e netto</t>
  </si>
  <si>
    <t>Variazioni</t>
  </si>
  <si>
    <t>Capitale circolante netto</t>
  </si>
  <si>
    <t>CCN/TA</t>
  </si>
  <si>
    <t>Conto economico</t>
  </si>
  <si>
    <t>Ricavi</t>
  </si>
  <si>
    <t>Costo dei beni venduti</t>
  </si>
  <si>
    <t>Costi generali</t>
  </si>
  <si>
    <t>Ammortamenti</t>
  </si>
  <si>
    <t>Reddito operativo (EBIT)</t>
  </si>
  <si>
    <t>Interessi</t>
  </si>
  <si>
    <t>Imposte</t>
  </si>
  <si>
    <t>Reddito netto</t>
  </si>
  <si>
    <t>dividendi</t>
  </si>
  <si>
    <t>Utili non distribuiti</t>
  </si>
  <si>
    <t>Valore di mercato dell'equity</t>
  </si>
  <si>
    <t>Utili per azione</t>
  </si>
  <si>
    <t>Dividendi per azione</t>
  </si>
  <si>
    <t>Numero di azioni</t>
  </si>
  <si>
    <t>Prezzo delle azioni (dollari)</t>
  </si>
  <si>
    <t>Quozienti di leva</t>
  </si>
  <si>
    <t>Debiti MLT/(Debiti MLT+Equity)</t>
  </si>
  <si>
    <t>Indice</t>
  </si>
  <si>
    <t>Descrizione</t>
  </si>
  <si>
    <t>Rapporto di indebitamento ML</t>
  </si>
  <si>
    <t>Debiti MLT/Equity</t>
  </si>
  <si>
    <t>Rapporto Debiti MLT/Equity</t>
  </si>
  <si>
    <t>Capitale netto (Equity)</t>
  </si>
  <si>
    <t>Rapporto di indebitamento Brv+MLT</t>
  </si>
  <si>
    <t>Rapporto Debiti Brv+MLT/Equity</t>
  </si>
  <si>
    <t>(Debiti Breve+MLT)/Equity</t>
  </si>
  <si>
    <t>(Debiti breve+MLT)/(Debiti breve+MLT+Equity)</t>
  </si>
  <si>
    <t>Copertura degli interessi</t>
  </si>
  <si>
    <t>EBIT/Interessi</t>
  </si>
  <si>
    <t>Cash coverage ratio</t>
  </si>
  <si>
    <t>Margine operativo lordo (EBTDA)</t>
  </si>
  <si>
    <t>EBITDA/Interessi</t>
  </si>
  <si>
    <t>Quozienti di liquidità</t>
  </si>
  <si>
    <t>Circolante netto su attività</t>
  </si>
  <si>
    <t>Quoziente di liquidità corrente</t>
  </si>
  <si>
    <t>(attività correnti-pass. correnti)/tot attività</t>
  </si>
  <si>
    <t>attività correnti/passività correnti</t>
  </si>
  <si>
    <t>Quoziente di liquidità differita</t>
  </si>
  <si>
    <t>(cassa+clienti)/passività correnti</t>
  </si>
  <si>
    <t>Quoziente di liquidità immediata</t>
  </si>
  <si>
    <t>cassa/passività correnti</t>
  </si>
  <si>
    <t>Periodo medio di copertura spese</t>
  </si>
  <si>
    <t>(cassa+clienti)/(costi operativi/365)</t>
  </si>
  <si>
    <t>Rotazione attività totali</t>
  </si>
  <si>
    <t>Vendite/totale attivo medio</t>
  </si>
  <si>
    <t>Vendite/CCN medio</t>
  </si>
  <si>
    <t>Rotazione CCN</t>
  </si>
  <si>
    <t>Durata scorte (giorni)</t>
  </si>
  <si>
    <t>Scorte medie/(costo dei beni venduti/365)</t>
  </si>
  <si>
    <t>Rotazione delle scorte</t>
  </si>
  <si>
    <t>Costo dei beni venduti/scorte medie</t>
  </si>
  <si>
    <t>Periodo medio di incasso (giorni)</t>
  </si>
  <si>
    <t>Crediti medi/(vendite/365)</t>
  </si>
  <si>
    <t>Rotazione dei crediti</t>
  </si>
  <si>
    <t>Vendite/crediti medi</t>
  </si>
  <si>
    <t>Quozienti di redditività</t>
  </si>
  <si>
    <t>Quozienti di efficienza</t>
  </si>
  <si>
    <t>Redditività delle vendite (ROS)</t>
  </si>
  <si>
    <t>Redditività delle attività (ROA)</t>
  </si>
  <si>
    <t>Redditività dell'equity (ROE)</t>
  </si>
  <si>
    <t>rapporto di distribuzione degli utili</t>
  </si>
  <si>
    <t>dividendi/utili</t>
  </si>
  <si>
    <t>reddito netto/equity medio</t>
  </si>
  <si>
    <t>(EBIT-imposte)/vendite</t>
  </si>
  <si>
    <t>(EBIT-imposte)/attività totali medie</t>
  </si>
  <si>
    <t>Quozienti di mercato</t>
  </si>
  <si>
    <t>Prezzo/utile</t>
  </si>
  <si>
    <t>Tasso di dividendo</t>
  </si>
  <si>
    <t>rapporto valore di mercato/valore contabile</t>
  </si>
  <si>
    <t>Dividendo/prezzo dell'azione</t>
  </si>
  <si>
    <t>Prezzo dell'azione/utile per azione</t>
  </si>
  <si>
    <t>Variazioni grezze</t>
  </si>
  <si>
    <t>Rettifiche</t>
  </si>
  <si>
    <t>Fonti</t>
  </si>
  <si>
    <t>Impieghi</t>
  </si>
  <si>
    <t>Distribuzione dividendi</t>
  </si>
  <si>
    <t>Operazioni significative svolte nel periodo</t>
  </si>
  <si>
    <r>
      <t>•</t>
    </r>
    <r>
      <rPr>
        <sz val="12"/>
        <color rgb="FF000000"/>
        <rFont val="Calibri"/>
        <family val="2"/>
        <scheme val="minor"/>
      </rPr>
      <t>acquisti di impianti e attrezzature per Euro 100 con dismissione di un cespite per 29.5</t>
    </r>
  </si>
  <si>
    <r>
      <t>•</t>
    </r>
    <r>
      <rPr>
        <sz val="12"/>
        <color rgb="FF000000"/>
        <rFont val="Calibri"/>
        <family val="2"/>
        <scheme val="minor"/>
      </rPr>
      <t xml:space="preserve">riparto utile esercizio: 30.7 alle riserve e 43.8 agli azionisti </t>
    </r>
  </si>
  <si>
    <r>
      <t>•</t>
    </r>
    <r>
      <rPr>
        <sz val="12"/>
        <color rgb="FF000000"/>
        <rFont val="Calibri"/>
        <family val="2"/>
        <scheme val="minor"/>
      </rPr>
      <t>mutui passivi: quote in scadenza nell'anno 2018 per 25 e sottoscrizione di un nuovo mutuo per 50</t>
    </r>
  </si>
  <si>
    <t>Rimborso quote mutuo</t>
  </si>
  <si>
    <t>Acquisti e dismissioni</t>
  </si>
  <si>
    <t>Valori finali</t>
  </si>
  <si>
    <t>Check</t>
  </si>
  <si>
    <t>Rendiconto</t>
  </si>
  <si>
    <t>Utile</t>
  </si>
  <si>
    <t>Cash-flow</t>
  </si>
  <si>
    <t>Rimborso quote mutui</t>
  </si>
  <si>
    <t>Sottoscrizione mutuo</t>
  </si>
  <si>
    <t>Dismissione cespite</t>
  </si>
  <si>
    <t>FONTI</t>
  </si>
  <si>
    <t>IMPIEGHI</t>
  </si>
  <si>
    <t>Aumento debiti vs fornitori</t>
  </si>
  <si>
    <t>Aumento debiti a breve</t>
  </si>
  <si>
    <t>Totale fonti</t>
  </si>
  <si>
    <t>Acquisto impianti e att.</t>
  </si>
  <si>
    <t>Aumento Clienti</t>
  </si>
  <si>
    <t>Aumento scorte</t>
  </si>
  <si>
    <t>Totale impieghi</t>
  </si>
  <si>
    <t>Variazione cassa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</si>
</sst>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164" fontId="0" fillId="0" borderId="0" xfId="1" applyNumberFormat="1" applyFont="1"/>
    <xf numFmtId="2" fontId="0" fillId="0" borderId="0" xfId="0" applyNumberFormat="1"/>
    <xf numFmtId="0" fontId="3" fillId="0" borderId="0" xfId="0" applyFont="1"/>
    <xf numFmtId="2" fontId="0" fillId="2" borderId="0" xfId="0" applyNumberFormat="1" applyFill="1"/>
    <xf numFmtId="2" fontId="0" fillId="0" borderId="0" xfId="0" applyNumberFormat="1" applyFill="1"/>
    <xf numFmtId="10" fontId="0" fillId="0" borderId="0" xfId="1" applyNumberFormat="1" applyFont="1"/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 applyFont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363F0-C507-844F-AA8D-09315E9E5E7A}">
  <dimension ref="B1:M46"/>
  <sheetViews>
    <sheetView tabSelected="1" workbookViewId="0">
      <selection activeCell="H2" sqref="H2"/>
    </sheetView>
  </sheetViews>
  <sheetFormatPr baseColWidth="10" defaultRowHeight="16" x14ac:dyDescent="0.2"/>
  <cols>
    <col min="9" max="9" width="32.1640625" customWidth="1"/>
    <col min="10" max="10" width="38.6640625" customWidth="1"/>
  </cols>
  <sheetData>
    <row r="1" spans="2:13" x14ac:dyDescent="0.2">
      <c r="B1" t="s">
        <v>0</v>
      </c>
      <c r="E1">
        <v>2017</v>
      </c>
      <c r="F1">
        <v>2018</v>
      </c>
      <c r="G1" t="s">
        <v>18</v>
      </c>
    </row>
    <row r="2" spans="2:13" x14ac:dyDescent="0.2">
      <c r="B2" t="s">
        <v>6</v>
      </c>
      <c r="K2" s="1">
        <v>2017</v>
      </c>
      <c r="L2" s="1">
        <v>2018</v>
      </c>
      <c r="M2" s="1" t="s">
        <v>18</v>
      </c>
    </row>
    <row r="3" spans="2:13" x14ac:dyDescent="0.2">
      <c r="C3" t="s">
        <v>1</v>
      </c>
      <c r="E3">
        <v>75</v>
      </c>
      <c r="F3">
        <v>110</v>
      </c>
      <c r="G3">
        <f>F3-E3</f>
        <v>35</v>
      </c>
      <c r="I3" t="s">
        <v>19</v>
      </c>
      <c r="K3">
        <f>E6-E18</f>
        <v>401.5</v>
      </c>
      <c r="L3">
        <f t="shared" ref="L3:M3" si="0">F6-F18</f>
        <v>440</v>
      </c>
      <c r="M3">
        <f t="shared" si="0"/>
        <v>38.5</v>
      </c>
    </row>
    <row r="4" spans="2:13" x14ac:dyDescent="0.2">
      <c r="C4" t="s">
        <v>2</v>
      </c>
      <c r="E4">
        <v>433.1</v>
      </c>
      <c r="F4">
        <v>440</v>
      </c>
      <c r="G4">
        <f t="shared" ref="G4:G24" si="1">F4-E4</f>
        <v>6.8999999999999773</v>
      </c>
      <c r="I4" t="s">
        <v>20</v>
      </c>
      <c r="K4" s="2">
        <f>K3/E12</f>
        <v>0.29077346465816917</v>
      </c>
      <c r="L4" s="2">
        <f>L3/F12</f>
        <v>0.30344827586206896</v>
      </c>
    </row>
    <row r="5" spans="2:13" x14ac:dyDescent="0.2">
      <c r="C5" t="s">
        <v>3</v>
      </c>
      <c r="E5">
        <v>339.9</v>
      </c>
      <c r="F5">
        <v>350</v>
      </c>
      <c r="G5">
        <f t="shared" si="1"/>
        <v>10.100000000000023</v>
      </c>
    </row>
    <row r="6" spans="2:13" x14ac:dyDescent="0.2">
      <c r="B6" t="s">
        <v>4</v>
      </c>
      <c r="E6">
        <f>SUM(E3:E5)</f>
        <v>848</v>
      </c>
      <c r="F6">
        <f>SUM(F3:F5)</f>
        <v>900</v>
      </c>
      <c r="G6">
        <f t="shared" si="1"/>
        <v>52</v>
      </c>
      <c r="I6" t="s">
        <v>39</v>
      </c>
      <c r="J6" t="s">
        <v>40</v>
      </c>
    </row>
    <row r="8" spans="2:13" x14ac:dyDescent="0.2">
      <c r="B8" t="s">
        <v>5</v>
      </c>
      <c r="I8" s="4" t="s">
        <v>37</v>
      </c>
      <c r="K8" s="1">
        <v>2017</v>
      </c>
      <c r="L8" s="1">
        <v>2018</v>
      </c>
    </row>
    <row r="9" spans="2:13" x14ac:dyDescent="0.2">
      <c r="C9" t="s">
        <v>7</v>
      </c>
      <c r="E9">
        <v>929.5</v>
      </c>
      <c r="F9">
        <v>1000</v>
      </c>
      <c r="G9">
        <f t="shared" si="1"/>
        <v>70.5</v>
      </c>
      <c r="I9" t="s">
        <v>41</v>
      </c>
      <c r="J9" t="s">
        <v>38</v>
      </c>
      <c r="K9" s="3">
        <f>E20/(E20+E22)</f>
        <v>0.45488601091726427</v>
      </c>
      <c r="L9" s="3">
        <f>F20/(F20+F22)</f>
        <v>0.45454545454545453</v>
      </c>
    </row>
    <row r="10" spans="2:13" x14ac:dyDescent="0.2">
      <c r="C10" t="s">
        <v>8</v>
      </c>
      <c r="E10">
        <v>396.7</v>
      </c>
      <c r="F10">
        <v>450</v>
      </c>
      <c r="G10">
        <f t="shared" si="1"/>
        <v>53.300000000000011</v>
      </c>
      <c r="I10" t="s">
        <v>45</v>
      </c>
      <c r="J10" t="s">
        <v>48</v>
      </c>
      <c r="K10" s="3">
        <f>(E16+E20)/(E16+E20+E22)</f>
        <v>0.5059656610728489</v>
      </c>
      <c r="L10" s="3">
        <f>(F16+F20)/(F16+F20+F22)</f>
        <v>0.50458715596330272</v>
      </c>
    </row>
    <row r="11" spans="2:13" x14ac:dyDescent="0.2">
      <c r="C11" t="s">
        <v>9</v>
      </c>
      <c r="E11">
        <f>E9-E10</f>
        <v>532.79999999999995</v>
      </c>
      <c r="F11">
        <f>F9-F10</f>
        <v>550</v>
      </c>
      <c r="G11">
        <f t="shared" si="1"/>
        <v>17.200000000000045</v>
      </c>
      <c r="I11" t="s">
        <v>43</v>
      </c>
      <c r="J11" t="s">
        <v>42</v>
      </c>
      <c r="K11" s="3">
        <f>E20/E22</f>
        <v>0.83447869624975457</v>
      </c>
      <c r="L11" s="3">
        <f>F20/F22</f>
        <v>0.83333333333333337</v>
      </c>
    </row>
    <row r="12" spans="2:13" x14ac:dyDescent="0.2">
      <c r="B12" t="s">
        <v>10</v>
      </c>
      <c r="E12">
        <f>E6+E11</f>
        <v>1380.8</v>
      </c>
      <c r="F12">
        <f>F6+F11</f>
        <v>1450</v>
      </c>
      <c r="G12">
        <f t="shared" si="1"/>
        <v>69.200000000000045</v>
      </c>
      <c r="I12" t="s">
        <v>46</v>
      </c>
      <c r="J12" t="s">
        <v>47</v>
      </c>
      <c r="K12" s="3">
        <f>(E16+E20)/E22</f>
        <v>1.0241507952091107</v>
      </c>
      <c r="L12" s="3">
        <f>(F16+F20)/F22</f>
        <v>1.0185185185185186</v>
      </c>
    </row>
    <row r="13" spans="2:13" x14ac:dyDescent="0.2">
      <c r="I13" t="s">
        <v>49</v>
      </c>
      <c r="J13" t="s">
        <v>50</v>
      </c>
      <c r="L13" s="3">
        <f>E38/E39</f>
        <v>3.9223529411764702</v>
      </c>
    </row>
    <row r="14" spans="2:13" x14ac:dyDescent="0.2">
      <c r="B14" t="s">
        <v>11</v>
      </c>
      <c r="I14" t="s">
        <v>51</v>
      </c>
      <c r="J14" t="s">
        <v>53</v>
      </c>
      <c r="L14" s="5">
        <f>E36/E39</f>
        <v>5.1764705882352944</v>
      </c>
    </row>
    <row r="15" spans="2:13" x14ac:dyDescent="0.2">
      <c r="B15" t="s">
        <v>12</v>
      </c>
    </row>
    <row r="16" spans="2:13" x14ac:dyDescent="0.2">
      <c r="C16" t="s">
        <v>13</v>
      </c>
      <c r="E16">
        <v>96.6</v>
      </c>
      <c r="F16">
        <v>100</v>
      </c>
      <c r="G16">
        <f t="shared" si="1"/>
        <v>3.4000000000000057</v>
      </c>
      <c r="I16" s="4" t="s">
        <v>54</v>
      </c>
    </row>
    <row r="17" spans="2:12" x14ac:dyDescent="0.2">
      <c r="C17" t="s">
        <v>14</v>
      </c>
      <c r="E17">
        <v>349.9</v>
      </c>
      <c r="F17">
        <v>360</v>
      </c>
      <c r="G17">
        <f t="shared" si="1"/>
        <v>10.100000000000023</v>
      </c>
      <c r="I17" t="s">
        <v>55</v>
      </c>
      <c r="J17" t="s">
        <v>57</v>
      </c>
      <c r="K17" s="3">
        <f>(E6-E18)/E12</f>
        <v>0.29077346465816917</v>
      </c>
      <c r="L17" s="3">
        <f>(F6-F18)/F12</f>
        <v>0.30344827586206896</v>
      </c>
    </row>
    <row r="18" spans="2:12" x14ac:dyDescent="0.2">
      <c r="B18" t="s">
        <v>15</v>
      </c>
      <c r="E18">
        <f>E16+E17</f>
        <v>446.5</v>
      </c>
      <c r="F18">
        <f>F16+F17</f>
        <v>460</v>
      </c>
      <c r="G18">
        <f t="shared" si="1"/>
        <v>13.5</v>
      </c>
      <c r="I18" t="s">
        <v>56</v>
      </c>
      <c r="J18" t="s">
        <v>58</v>
      </c>
      <c r="K18" s="3">
        <f>E6/E18</f>
        <v>1.8992161254199329</v>
      </c>
      <c r="L18" s="3">
        <f>F6/F18</f>
        <v>1.9565217391304348</v>
      </c>
    </row>
    <row r="19" spans="2:12" x14ac:dyDescent="0.2">
      <c r="I19" t="s">
        <v>59</v>
      </c>
      <c r="J19" t="s">
        <v>60</v>
      </c>
      <c r="K19" s="3">
        <f>(E3+E4)/E18</f>
        <v>1.1379619260918254</v>
      </c>
      <c r="L19" s="3">
        <f>(F3+F4)/F18</f>
        <v>1.1956521739130435</v>
      </c>
    </row>
    <row r="20" spans="2:12" x14ac:dyDescent="0.2">
      <c r="B20" t="s">
        <v>16</v>
      </c>
      <c r="E20">
        <v>425</v>
      </c>
      <c r="F20">
        <v>450</v>
      </c>
      <c r="G20">
        <f t="shared" si="1"/>
        <v>25</v>
      </c>
      <c r="I20" t="s">
        <v>61</v>
      </c>
      <c r="J20" t="s">
        <v>62</v>
      </c>
      <c r="K20" s="3">
        <f>E3/E18</f>
        <v>0.16797312430011199</v>
      </c>
      <c r="L20" s="3">
        <f>F3/F18</f>
        <v>0.2391304347826087</v>
      </c>
    </row>
    <row r="21" spans="2:12" x14ac:dyDescent="0.2">
      <c r="I21" t="s">
        <v>63</v>
      </c>
      <c r="J21" t="s">
        <v>64</v>
      </c>
      <c r="K21" s="3"/>
      <c r="L21" s="3">
        <f>(F3+F4)/((E34+E35)/365)</f>
        <v>101.38888888888889</v>
      </c>
    </row>
    <row r="22" spans="2:12" x14ac:dyDescent="0.2">
      <c r="B22" t="s">
        <v>44</v>
      </c>
      <c r="E22">
        <v>509.3</v>
      </c>
      <c r="F22">
        <v>540</v>
      </c>
      <c r="G22">
        <f t="shared" si="1"/>
        <v>30.699999999999989</v>
      </c>
    </row>
    <row r="24" spans="2:12" x14ac:dyDescent="0.2">
      <c r="B24" t="s">
        <v>17</v>
      </c>
      <c r="E24">
        <f>E22+E20+E18</f>
        <v>1380.8</v>
      </c>
      <c r="F24">
        <f>F22+F20+F18</f>
        <v>1450</v>
      </c>
      <c r="G24">
        <f t="shared" si="1"/>
        <v>69.200000000000045</v>
      </c>
      <c r="I24" s="4" t="s">
        <v>78</v>
      </c>
    </row>
    <row r="25" spans="2:12" x14ac:dyDescent="0.2">
      <c r="I25" t="s">
        <v>65</v>
      </c>
      <c r="J25" t="s">
        <v>66</v>
      </c>
      <c r="K25" s="3"/>
      <c r="L25" s="3">
        <f>E33/((F12+E12)/2)</f>
        <v>1.5543309311855305</v>
      </c>
    </row>
    <row r="26" spans="2:12" x14ac:dyDescent="0.2">
      <c r="B26" t="s">
        <v>32</v>
      </c>
      <c r="E26">
        <v>598</v>
      </c>
      <c r="F26">
        <v>708</v>
      </c>
      <c r="I26" t="s">
        <v>68</v>
      </c>
      <c r="J26" t="s">
        <v>67</v>
      </c>
      <c r="K26" s="3"/>
      <c r="L26" s="3">
        <f>E33/((L3+K3)/2)</f>
        <v>5.2287581699346406</v>
      </c>
    </row>
    <row r="27" spans="2:12" x14ac:dyDescent="0.2">
      <c r="B27" t="s">
        <v>35</v>
      </c>
      <c r="E27">
        <v>14.16</v>
      </c>
      <c r="F27">
        <v>14.16</v>
      </c>
      <c r="I27" t="s">
        <v>69</v>
      </c>
      <c r="J27" t="s">
        <v>70</v>
      </c>
      <c r="K27" s="6"/>
      <c r="L27" s="6">
        <f>((F5+E5)/2)/((E34+E35)/365)</f>
        <v>63.589267676767669</v>
      </c>
    </row>
    <row r="28" spans="2:12" x14ac:dyDescent="0.2">
      <c r="B28" t="s">
        <v>36</v>
      </c>
      <c r="E28" s="3">
        <f>E26/E27</f>
        <v>42.231638418079093</v>
      </c>
      <c r="F28" s="3">
        <f>F26/F27</f>
        <v>50</v>
      </c>
      <c r="I28" t="s">
        <v>71</v>
      </c>
      <c r="J28" t="s">
        <v>72</v>
      </c>
      <c r="K28" s="3"/>
      <c r="L28" s="3">
        <f>(E34+E35)/((F5+E5)/2)</f>
        <v>5.7399623133787507</v>
      </c>
    </row>
    <row r="29" spans="2:12" x14ac:dyDescent="0.2">
      <c r="I29" t="s">
        <v>73</v>
      </c>
      <c r="J29" t="s">
        <v>74</v>
      </c>
      <c r="K29" s="3"/>
      <c r="L29" s="3">
        <f>((E4+F4)/2)/(E33/365)</f>
        <v>72.427613636363631</v>
      </c>
    </row>
    <row r="30" spans="2:12" x14ac:dyDescent="0.2">
      <c r="I30" t="s">
        <v>75</v>
      </c>
      <c r="J30" t="s">
        <v>76</v>
      </c>
      <c r="K30" s="3"/>
      <c r="L30" s="3">
        <f>E33/((E4+F4)/2)</f>
        <v>5.0395143740694079</v>
      </c>
    </row>
    <row r="31" spans="2:12" x14ac:dyDescent="0.2">
      <c r="B31" t="s">
        <v>21</v>
      </c>
      <c r="E31">
        <v>2018</v>
      </c>
    </row>
    <row r="33" spans="2:12" x14ac:dyDescent="0.2">
      <c r="B33" t="s">
        <v>22</v>
      </c>
      <c r="E33">
        <v>2200</v>
      </c>
      <c r="I33" s="4" t="s">
        <v>77</v>
      </c>
    </row>
    <row r="34" spans="2:12" x14ac:dyDescent="0.2">
      <c r="B34" t="s">
        <v>23</v>
      </c>
      <c r="E34">
        <v>1452</v>
      </c>
      <c r="I34" t="s">
        <v>79</v>
      </c>
      <c r="J34" t="s">
        <v>85</v>
      </c>
      <c r="L34" s="7">
        <f>(E38-E40)/E33</f>
        <v>5.3181818181818177E-2</v>
      </c>
    </row>
    <row r="35" spans="2:12" x14ac:dyDescent="0.2">
      <c r="B35" t="s">
        <v>24</v>
      </c>
      <c r="E35">
        <v>528</v>
      </c>
      <c r="I35" t="s">
        <v>80</v>
      </c>
      <c r="J35" t="s">
        <v>86</v>
      </c>
      <c r="L35" s="7">
        <f>(E38-E40)/((E12+F12)/2)</f>
        <v>8.2662144976685017E-2</v>
      </c>
    </row>
    <row r="36" spans="2:12" x14ac:dyDescent="0.2">
      <c r="B36" t="s">
        <v>52</v>
      </c>
      <c r="E36">
        <f>E33-E34-E35</f>
        <v>220</v>
      </c>
      <c r="I36" t="s">
        <v>81</v>
      </c>
      <c r="J36" t="s">
        <v>84</v>
      </c>
      <c r="L36" s="7">
        <f>E41/((E22+F22)/2)</f>
        <v>0.14199942819022204</v>
      </c>
    </row>
    <row r="37" spans="2:12" x14ac:dyDescent="0.2">
      <c r="B37" t="s">
        <v>25</v>
      </c>
      <c r="E37">
        <v>53.3</v>
      </c>
      <c r="I37" t="s">
        <v>82</v>
      </c>
      <c r="J37" t="s">
        <v>83</v>
      </c>
      <c r="L37" s="7">
        <f>E42/E41</f>
        <v>0.58791946308724841</v>
      </c>
    </row>
    <row r="38" spans="2:12" x14ac:dyDescent="0.2">
      <c r="B38" t="s">
        <v>26</v>
      </c>
      <c r="E38">
        <f>E36-E37</f>
        <v>166.7</v>
      </c>
    </row>
    <row r="39" spans="2:12" x14ac:dyDescent="0.2">
      <c r="B39" t="s">
        <v>27</v>
      </c>
      <c r="E39">
        <v>42.5</v>
      </c>
    </row>
    <row r="40" spans="2:12" x14ac:dyDescent="0.2">
      <c r="B40" t="s">
        <v>28</v>
      </c>
      <c r="E40">
        <v>49.7</v>
      </c>
      <c r="I40" s="4" t="s">
        <v>87</v>
      </c>
    </row>
    <row r="41" spans="2:12" x14ac:dyDescent="0.2">
      <c r="B41" t="s">
        <v>29</v>
      </c>
      <c r="E41">
        <f>E38-E39-E40</f>
        <v>74.499999999999986</v>
      </c>
    </row>
    <row r="42" spans="2:12" x14ac:dyDescent="0.2">
      <c r="B42" t="s">
        <v>30</v>
      </c>
      <c r="E42">
        <v>43.8</v>
      </c>
      <c r="I42" t="s">
        <v>88</v>
      </c>
      <c r="J42" t="s">
        <v>92</v>
      </c>
      <c r="L42" s="3">
        <f>F28/E45</f>
        <v>9.503355704697988</v>
      </c>
    </row>
    <row r="43" spans="2:12" x14ac:dyDescent="0.2">
      <c r="B43" t="s">
        <v>31</v>
      </c>
      <c r="E43">
        <f>E41-E42</f>
        <v>30.699999999999989</v>
      </c>
      <c r="I43" t="s">
        <v>89</v>
      </c>
      <c r="J43" t="s">
        <v>91</v>
      </c>
      <c r="L43" s="7">
        <f>E46/F28</f>
        <v>6.1864406779661013E-2</v>
      </c>
    </row>
    <row r="44" spans="2:12" x14ac:dyDescent="0.2">
      <c r="I44" t="s">
        <v>90</v>
      </c>
      <c r="L44" s="3">
        <f>F26/F22</f>
        <v>1.3111111111111111</v>
      </c>
    </row>
    <row r="45" spans="2:12" x14ac:dyDescent="0.2">
      <c r="B45" t="s">
        <v>33</v>
      </c>
      <c r="E45" s="3">
        <f>E41/F27</f>
        <v>5.2612994350282474</v>
      </c>
    </row>
    <row r="46" spans="2:12" x14ac:dyDescent="0.2">
      <c r="B46" t="s">
        <v>34</v>
      </c>
      <c r="E46" s="3">
        <f>E42/F27</f>
        <v>3.0932203389830506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52231-2B61-E64B-AE28-3452AEDE92F0}">
  <dimension ref="B1:S44"/>
  <sheetViews>
    <sheetView topLeftCell="A23" zoomScale="138" zoomScaleNormal="138" workbookViewId="0">
      <selection activeCell="D13" sqref="D13"/>
    </sheetView>
  </sheetViews>
  <sheetFormatPr baseColWidth="10" defaultRowHeight="16" x14ac:dyDescent="0.2"/>
  <cols>
    <col min="7" max="7" width="6" customWidth="1"/>
    <col min="10" max="10" width="4.83203125" customWidth="1"/>
    <col min="11" max="11" width="19.6640625" customWidth="1"/>
    <col min="14" max="14" width="4" customWidth="1"/>
    <col min="18" max="18" width="20.1640625" customWidth="1"/>
  </cols>
  <sheetData>
    <row r="1" spans="2:19" x14ac:dyDescent="0.2">
      <c r="H1" s="15" t="s">
        <v>93</v>
      </c>
      <c r="I1" s="15"/>
      <c r="J1" s="8"/>
      <c r="K1" s="11"/>
      <c r="L1" s="14" t="s">
        <v>94</v>
      </c>
      <c r="M1" s="14"/>
      <c r="O1" s="16" t="s">
        <v>104</v>
      </c>
      <c r="P1" s="16"/>
      <c r="R1" t="s">
        <v>106</v>
      </c>
    </row>
    <row r="2" spans="2:19" x14ac:dyDescent="0.2">
      <c r="B2" t="s">
        <v>0</v>
      </c>
      <c r="E2">
        <v>2017</v>
      </c>
      <c r="F2">
        <v>2018</v>
      </c>
      <c r="H2" s="12" t="s">
        <v>95</v>
      </c>
      <c r="I2" s="12" t="s">
        <v>96</v>
      </c>
      <c r="K2" s="11"/>
      <c r="L2" s="11" t="s">
        <v>95</v>
      </c>
      <c r="M2" s="11" t="s">
        <v>96</v>
      </c>
      <c r="O2" s="13" t="s">
        <v>95</v>
      </c>
      <c r="P2" s="13" t="s">
        <v>96</v>
      </c>
    </row>
    <row r="3" spans="2:19" x14ac:dyDescent="0.2">
      <c r="B3" t="s">
        <v>6</v>
      </c>
      <c r="H3" s="12"/>
      <c r="I3" s="12"/>
      <c r="K3" s="11"/>
      <c r="L3" s="11"/>
      <c r="M3" s="11"/>
      <c r="O3" s="13"/>
      <c r="P3" s="13"/>
      <c r="R3" t="s">
        <v>112</v>
      </c>
    </row>
    <row r="4" spans="2:19" x14ac:dyDescent="0.2">
      <c r="C4" t="s">
        <v>1</v>
      </c>
      <c r="E4">
        <v>75</v>
      </c>
      <c r="F4">
        <v>110</v>
      </c>
      <c r="H4" s="12"/>
      <c r="I4" s="12">
        <f>F4-E4</f>
        <v>35</v>
      </c>
      <c r="K4" s="11"/>
      <c r="L4" s="11"/>
      <c r="M4" s="11"/>
      <c r="O4" s="13"/>
      <c r="P4" s="13">
        <f t="shared" ref="O4:P21" si="0">M4+I4</f>
        <v>35</v>
      </c>
    </row>
    <row r="5" spans="2:19" x14ac:dyDescent="0.2">
      <c r="C5" t="s">
        <v>2</v>
      </c>
      <c r="E5">
        <v>433.1</v>
      </c>
      <c r="F5">
        <v>440</v>
      </c>
      <c r="H5" s="12"/>
      <c r="I5" s="12">
        <f>F5-E5</f>
        <v>6.8999999999999773</v>
      </c>
      <c r="K5" s="11"/>
      <c r="L5" s="11"/>
      <c r="M5" s="11"/>
      <c r="O5" s="13"/>
      <c r="P5" s="13">
        <f t="shared" si="0"/>
        <v>6.8999999999999773</v>
      </c>
      <c r="R5" t="s">
        <v>107</v>
      </c>
      <c r="S5">
        <f>O23</f>
        <v>74.499999999999986</v>
      </c>
    </row>
    <row r="6" spans="2:19" x14ac:dyDescent="0.2">
      <c r="C6" t="s">
        <v>3</v>
      </c>
      <c r="E6">
        <v>339.9</v>
      </c>
      <c r="F6">
        <v>350</v>
      </c>
      <c r="H6" s="12"/>
      <c r="I6" s="12">
        <f>F6-E6</f>
        <v>10.100000000000023</v>
      </c>
      <c r="K6" s="11"/>
      <c r="L6" s="11"/>
      <c r="M6" s="11"/>
      <c r="O6" s="13"/>
      <c r="P6" s="13">
        <f t="shared" si="0"/>
        <v>10.100000000000023</v>
      </c>
      <c r="R6" t="s">
        <v>25</v>
      </c>
      <c r="S6">
        <f>O11</f>
        <v>53.300000000000011</v>
      </c>
    </row>
    <row r="7" spans="2:19" x14ac:dyDescent="0.2">
      <c r="B7" t="s">
        <v>4</v>
      </c>
      <c r="E7">
        <f>SUM(E4:E6)</f>
        <v>848</v>
      </c>
      <c r="F7">
        <f>SUM(F4:F6)</f>
        <v>900</v>
      </c>
      <c r="H7" s="12"/>
      <c r="I7" s="12"/>
      <c r="K7" s="11"/>
      <c r="L7" s="11"/>
      <c r="M7" s="11"/>
      <c r="O7" s="13"/>
      <c r="P7" s="13"/>
      <c r="R7" t="s">
        <v>108</v>
      </c>
      <c r="S7">
        <f>S6+S5</f>
        <v>127.8</v>
      </c>
    </row>
    <row r="8" spans="2:19" x14ac:dyDescent="0.2">
      <c r="H8" s="12"/>
      <c r="I8" s="12"/>
      <c r="K8" s="11"/>
      <c r="L8" s="11"/>
      <c r="M8" s="11"/>
      <c r="O8" s="13"/>
      <c r="P8" s="13"/>
      <c r="R8" t="s">
        <v>110</v>
      </c>
      <c r="S8">
        <f>O21</f>
        <v>50</v>
      </c>
    </row>
    <row r="9" spans="2:19" x14ac:dyDescent="0.2">
      <c r="B9" t="s">
        <v>5</v>
      </c>
      <c r="H9" s="12"/>
      <c r="I9" s="12"/>
      <c r="K9" s="11"/>
      <c r="L9" s="11"/>
      <c r="M9" s="11"/>
      <c r="O9" s="13"/>
      <c r="P9" s="13"/>
      <c r="R9" t="s">
        <v>111</v>
      </c>
      <c r="S9">
        <f>O10</f>
        <v>29.5</v>
      </c>
    </row>
    <row r="10" spans="2:19" x14ac:dyDescent="0.2">
      <c r="C10" t="s">
        <v>7</v>
      </c>
      <c r="E10">
        <v>929.5</v>
      </c>
      <c r="F10">
        <v>1000</v>
      </c>
      <c r="H10" s="12"/>
      <c r="I10" s="12">
        <f>F10-E10</f>
        <v>70.5</v>
      </c>
      <c r="K10" s="11" t="s">
        <v>103</v>
      </c>
      <c r="L10" s="11">
        <v>29.5</v>
      </c>
      <c r="M10" s="11">
        <v>29.5</v>
      </c>
      <c r="O10" s="13">
        <f t="shared" si="0"/>
        <v>29.5</v>
      </c>
      <c r="P10" s="13">
        <f t="shared" si="0"/>
        <v>100</v>
      </c>
      <c r="R10" t="s">
        <v>114</v>
      </c>
      <c r="S10">
        <f>O18</f>
        <v>10.100000000000023</v>
      </c>
    </row>
    <row r="11" spans="2:19" x14ac:dyDescent="0.2">
      <c r="C11" t="s">
        <v>8</v>
      </c>
      <c r="E11">
        <v>396.7</v>
      </c>
      <c r="F11">
        <v>450</v>
      </c>
      <c r="H11" s="12">
        <f>F11-E11</f>
        <v>53.300000000000011</v>
      </c>
      <c r="I11" s="12"/>
      <c r="K11" s="11"/>
      <c r="L11" s="11"/>
      <c r="M11" s="11"/>
      <c r="O11" s="13">
        <f t="shared" si="0"/>
        <v>53.300000000000011</v>
      </c>
      <c r="P11" s="13"/>
      <c r="R11" t="s">
        <v>115</v>
      </c>
      <c r="S11">
        <f>O17</f>
        <v>3.4000000000000057</v>
      </c>
    </row>
    <row r="12" spans="2:19" x14ac:dyDescent="0.2">
      <c r="C12" t="s">
        <v>9</v>
      </c>
      <c r="E12">
        <f>E10-E11</f>
        <v>532.79999999999995</v>
      </c>
      <c r="F12">
        <f>F10-F11</f>
        <v>550</v>
      </c>
      <c r="H12" s="12"/>
      <c r="I12" s="12"/>
      <c r="K12" s="11"/>
      <c r="L12" s="11"/>
      <c r="M12" s="11"/>
      <c r="O12" s="13"/>
      <c r="P12" s="13"/>
    </row>
    <row r="13" spans="2:19" x14ac:dyDescent="0.2">
      <c r="B13" t="s">
        <v>10</v>
      </c>
      <c r="E13">
        <f>E7+E12</f>
        <v>1380.8</v>
      </c>
      <c r="F13">
        <f>F7+F12</f>
        <v>1450</v>
      </c>
      <c r="H13" s="12"/>
      <c r="I13" s="12"/>
      <c r="K13" s="11"/>
      <c r="L13" s="11"/>
      <c r="M13" s="11"/>
      <c r="O13" s="13"/>
      <c r="P13" s="13"/>
      <c r="R13" t="s">
        <v>116</v>
      </c>
      <c r="S13">
        <f>SUM(S7:S12)</f>
        <v>220.80000000000004</v>
      </c>
    </row>
    <row r="14" spans="2:19" x14ac:dyDescent="0.2">
      <c r="H14" s="12"/>
      <c r="I14" s="12"/>
      <c r="K14" s="11"/>
      <c r="L14" s="11"/>
      <c r="M14" s="11"/>
      <c r="O14" s="13"/>
      <c r="P14" s="13"/>
    </row>
    <row r="15" spans="2:19" x14ac:dyDescent="0.2">
      <c r="B15" t="s">
        <v>11</v>
      </c>
      <c r="H15" s="12"/>
      <c r="I15" s="12"/>
      <c r="K15" s="11"/>
      <c r="L15" s="11"/>
      <c r="M15" s="11"/>
      <c r="O15" s="13"/>
      <c r="P15" s="13"/>
      <c r="R15" t="s">
        <v>113</v>
      </c>
    </row>
    <row r="16" spans="2:19" x14ac:dyDescent="0.2">
      <c r="B16" t="s">
        <v>12</v>
      </c>
      <c r="H16" s="12"/>
      <c r="I16" s="12"/>
      <c r="K16" s="11"/>
      <c r="L16" s="11"/>
      <c r="M16" s="11"/>
      <c r="O16" s="13"/>
      <c r="P16" s="13"/>
    </row>
    <row r="17" spans="2:19" x14ac:dyDescent="0.2">
      <c r="C17" t="s">
        <v>13</v>
      </c>
      <c r="E17">
        <v>96.6</v>
      </c>
      <c r="F17">
        <v>100</v>
      </c>
      <c r="H17" s="12">
        <f>F17-E17</f>
        <v>3.4000000000000057</v>
      </c>
      <c r="I17" s="12"/>
      <c r="K17" s="11"/>
      <c r="L17" s="11"/>
      <c r="M17" s="11"/>
      <c r="O17" s="13">
        <f t="shared" si="0"/>
        <v>3.4000000000000057</v>
      </c>
      <c r="P17" s="13"/>
      <c r="R17" t="s">
        <v>109</v>
      </c>
      <c r="S17">
        <f>P21</f>
        <v>25</v>
      </c>
    </row>
    <row r="18" spans="2:19" x14ac:dyDescent="0.2">
      <c r="C18" t="s">
        <v>14</v>
      </c>
      <c r="E18">
        <v>349.9</v>
      </c>
      <c r="F18">
        <v>360</v>
      </c>
      <c r="H18" s="12">
        <f>F18-E18</f>
        <v>10.100000000000023</v>
      </c>
      <c r="I18" s="12"/>
      <c r="K18" s="11"/>
      <c r="L18" s="11"/>
      <c r="M18" s="11"/>
      <c r="O18" s="13">
        <f t="shared" si="0"/>
        <v>10.100000000000023</v>
      </c>
      <c r="P18" s="13"/>
      <c r="R18" t="s">
        <v>117</v>
      </c>
      <c r="S18">
        <f>P10</f>
        <v>100</v>
      </c>
    </row>
    <row r="19" spans="2:19" x14ac:dyDescent="0.2">
      <c r="B19" t="s">
        <v>15</v>
      </c>
      <c r="E19">
        <f>E17+E18</f>
        <v>446.5</v>
      </c>
      <c r="F19">
        <f>F17+F18</f>
        <v>460</v>
      </c>
      <c r="H19" s="12"/>
      <c r="I19" s="12"/>
      <c r="K19" s="11"/>
      <c r="L19" s="11"/>
      <c r="M19" s="11"/>
      <c r="O19" s="13"/>
      <c r="P19" s="13"/>
      <c r="R19" t="s">
        <v>97</v>
      </c>
      <c r="S19">
        <f>P24</f>
        <v>43.8</v>
      </c>
    </row>
    <row r="20" spans="2:19" x14ac:dyDescent="0.2">
      <c r="H20" s="12"/>
      <c r="I20" s="12"/>
      <c r="K20" s="11"/>
      <c r="L20" s="11"/>
      <c r="M20" s="11"/>
      <c r="O20" s="13"/>
      <c r="P20" s="13"/>
      <c r="R20" t="s">
        <v>118</v>
      </c>
      <c r="S20">
        <f>P5</f>
        <v>6.8999999999999773</v>
      </c>
    </row>
    <row r="21" spans="2:19" x14ac:dyDescent="0.2">
      <c r="B21" t="s">
        <v>16</v>
      </c>
      <c r="E21">
        <v>425</v>
      </c>
      <c r="F21">
        <v>450</v>
      </c>
      <c r="H21" s="12">
        <f>F21-E21</f>
        <v>25</v>
      </c>
      <c r="I21" s="12"/>
      <c r="K21" s="11" t="s">
        <v>102</v>
      </c>
      <c r="L21" s="11">
        <v>25</v>
      </c>
      <c r="M21" s="11">
        <v>25</v>
      </c>
      <c r="O21" s="13">
        <f t="shared" si="0"/>
        <v>50</v>
      </c>
      <c r="P21" s="13">
        <f t="shared" si="0"/>
        <v>25</v>
      </c>
      <c r="R21" t="s">
        <v>119</v>
      </c>
      <c r="S21">
        <f>P6</f>
        <v>10.100000000000023</v>
      </c>
    </row>
    <row r="22" spans="2:19" x14ac:dyDescent="0.2">
      <c r="H22" s="12"/>
      <c r="I22" s="12"/>
      <c r="K22" s="11"/>
      <c r="L22" s="11"/>
      <c r="M22" s="11"/>
      <c r="O22" s="13"/>
      <c r="P22" s="13"/>
    </row>
    <row r="23" spans="2:19" x14ac:dyDescent="0.2">
      <c r="B23" t="s">
        <v>44</v>
      </c>
      <c r="E23">
        <v>509.3</v>
      </c>
      <c r="F23">
        <v>540</v>
      </c>
      <c r="H23" s="12">
        <f>F23-E23</f>
        <v>30.699999999999989</v>
      </c>
      <c r="I23" s="12"/>
      <c r="K23" s="11" t="s">
        <v>97</v>
      </c>
      <c r="L23" s="11">
        <v>43.8</v>
      </c>
      <c r="M23" s="11"/>
      <c r="O23" s="13">
        <f>L23+H23</f>
        <v>74.499999999999986</v>
      </c>
      <c r="P23" s="13"/>
      <c r="R23" t="s">
        <v>120</v>
      </c>
      <c r="S23">
        <f>SUM(S17:S22)</f>
        <v>185.8</v>
      </c>
    </row>
    <row r="24" spans="2:19" x14ac:dyDescent="0.2">
      <c r="H24" s="12"/>
      <c r="I24" s="12"/>
      <c r="K24" s="11" t="s">
        <v>97</v>
      </c>
      <c r="L24" s="11"/>
      <c r="M24" s="11">
        <v>43.8</v>
      </c>
      <c r="O24" s="13"/>
      <c r="P24" s="13">
        <f t="shared" ref="P24" si="1">M24+I24</f>
        <v>43.8</v>
      </c>
    </row>
    <row r="25" spans="2:19" x14ac:dyDescent="0.2">
      <c r="B25" t="s">
        <v>17</v>
      </c>
      <c r="E25">
        <f>E23+E21+E19</f>
        <v>1380.8</v>
      </c>
      <c r="F25">
        <f>F23+F21+F19</f>
        <v>1450</v>
      </c>
      <c r="H25" s="12"/>
      <c r="I25" s="12"/>
      <c r="K25" s="11"/>
      <c r="L25" s="11"/>
      <c r="M25" s="11"/>
      <c r="O25" s="13"/>
      <c r="P25" s="13"/>
      <c r="R25" t="s">
        <v>121</v>
      </c>
      <c r="S25">
        <f>S13-S23</f>
        <v>35.000000000000028</v>
      </c>
    </row>
    <row r="26" spans="2:19" x14ac:dyDescent="0.2">
      <c r="H26" s="12"/>
      <c r="I26" s="12"/>
      <c r="K26" s="11"/>
      <c r="L26" s="11"/>
      <c r="M26" s="11"/>
      <c r="O26" s="13"/>
      <c r="P26" s="13"/>
    </row>
    <row r="27" spans="2:19" x14ac:dyDescent="0.2">
      <c r="F27" t="s">
        <v>105</v>
      </c>
      <c r="H27" s="12">
        <f>SUM(H4:H25)</f>
        <v>122.50000000000003</v>
      </c>
      <c r="I27" s="12">
        <f>SUM(I4:I25)</f>
        <v>122.5</v>
      </c>
      <c r="K27" s="11"/>
      <c r="L27" s="11">
        <f>SUM(L4:L25)</f>
        <v>98.3</v>
      </c>
      <c r="M27" s="11">
        <f>SUM(M4:M25)</f>
        <v>98.3</v>
      </c>
      <c r="O27" s="13">
        <f>SUM(O4:O25)</f>
        <v>220.8</v>
      </c>
      <c r="P27" s="13">
        <f>SUM(P4:P25)</f>
        <v>220.8</v>
      </c>
    </row>
    <row r="32" spans="2:19" ht="19" x14ac:dyDescent="0.25">
      <c r="B32" t="s">
        <v>21</v>
      </c>
      <c r="E32">
        <v>2018</v>
      </c>
      <c r="I32" s="9" t="s">
        <v>98</v>
      </c>
    </row>
    <row r="34" spans="2:9" x14ac:dyDescent="0.2">
      <c r="B34" t="s">
        <v>22</v>
      </c>
      <c r="E34">
        <v>2200</v>
      </c>
      <c r="I34" s="10" t="s">
        <v>99</v>
      </c>
    </row>
    <row r="35" spans="2:9" x14ac:dyDescent="0.2">
      <c r="B35" t="s">
        <v>23</v>
      </c>
      <c r="E35">
        <v>1452</v>
      </c>
      <c r="I35" s="10" t="s">
        <v>101</v>
      </c>
    </row>
    <row r="36" spans="2:9" x14ac:dyDescent="0.2">
      <c r="B36" t="s">
        <v>24</v>
      </c>
      <c r="E36">
        <v>528</v>
      </c>
      <c r="I36" s="10" t="s">
        <v>100</v>
      </c>
    </row>
    <row r="37" spans="2:9" x14ac:dyDescent="0.2">
      <c r="B37" t="s">
        <v>52</v>
      </c>
      <c r="E37">
        <f>E34-E35-E36</f>
        <v>220</v>
      </c>
    </row>
    <row r="38" spans="2:9" x14ac:dyDescent="0.2">
      <c r="B38" t="s">
        <v>25</v>
      </c>
      <c r="E38">
        <v>53.3</v>
      </c>
    </row>
    <row r="39" spans="2:9" x14ac:dyDescent="0.2">
      <c r="B39" t="s">
        <v>26</v>
      </c>
      <c r="E39">
        <f>E37-E38</f>
        <v>166.7</v>
      </c>
      <c r="I39" s="10"/>
    </row>
    <row r="40" spans="2:9" x14ac:dyDescent="0.2">
      <c r="B40" t="s">
        <v>27</v>
      </c>
      <c r="E40">
        <v>42.5</v>
      </c>
    </row>
    <row r="41" spans="2:9" x14ac:dyDescent="0.2">
      <c r="B41" t="s">
        <v>28</v>
      </c>
      <c r="E41">
        <v>49.7</v>
      </c>
    </row>
    <row r="42" spans="2:9" x14ac:dyDescent="0.2">
      <c r="B42" t="s">
        <v>29</v>
      </c>
      <c r="E42">
        <f>E39-E40-E41</f>
        <v>74.499999999999986</v>
      </c>
    </row>
    <row r="43" spans="2:9" x14ac:dyDescent="0.2">
      <c r="B43" t="s">
        <v>30</v>
      </c>
      <c r="E43">
        <v>43.8</v>
      </c>
    </row>
    <row r="44" spans="2:9" x14ac:dyDescent="0.2">
      <c r="B44" t="s">
        <v>31</v>
      </c>
      <c r="E44">
        <f>E42-E43</f>
        <v>30.699999999999989</v>
      </c>
    </row>
  </sheetData>
  <mergeCells count="3">
    <mergeCell ref="L1:M1"/>
    <mergeCell ref="H1:I1"/>
    <mergeCell ref="O1:P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Indici</vt:lpstr>
      <vt:lpstr>Rendiconto Finanziario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 Zedda</dc:creator>
  <cp:lastModifiedBy>Stefano Zedda</cp:lastModifiedBy>
  <dcterms:created xsi:type="dcterms:W3CDTF">2020-04-15T08:25:14Z</dcterms:created>
  <dcterms:modified xsi:type="dcterms:W3CDTF">2020-04-27T15:59:41Z</dcterms:modified>
</cp:coreProperties>
</file>